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Z:\SITE WEB\Module Budget\2026\"/>
    </mc:Choice>
  </mc:AlternateContent>
  <xr:revisionPtr revIDLastSave="0" documentId="13_ncr:1_{AE6809C1-87DC-4EE9-81D1-6C41B0C73589}" xr6:coauthVersionLast="47" xr6:coauthVersionMax="47" xr10:uidLastSave="{00000000-0000-0000-0000-000000000000}"/>
  <bookViews>
    <workbookView xWindow="-108" yWindow="-108" windowWidth="23256" windowHeight="12456" xr2:uid="{844622E1-9321-400F-AAB3-16EBA8E21347}"/>
  </bookViews>
  <sheets>
    <sheet name="Tableau principal - Hoofdtabel" sheetId="1" r:id="rId1"/>
    <sheet name="Feuil1" sheetId="16" r:id="rId2"/>
    <sheet name="Budget_CfgOA_2024" sheetId="15" state="hidden" r:id="rId3"/>
    <sheet name="Budget_VROA_2024" sheetId="14" state="hidden" r:id="rId4"/>
    <sheet name="Detail 2024-NROA-bron" sheetId="13" state="hidden" r:id="rId5"/>
    <sheet name="eenmalige kosten-frais uniques" sheetId="8" state="hidden" r:id="rId6"/>
    <sheet name="eenm kosten-frais uniques 24" sheetId="9" state="hidden" r:id="rId7"/>
    <sheet name="aantal leden - ALL-2023" sheetId="6" state="hidden" r:id="rId8"/>
    <sheet name="facturen-2023" sheetId="11" state="hidden" r:id="rId9"/>
    <sheet name="Budget_VROA_2023" sheetId="2" state="hidden" r:id="rId10"/>
    <sheet name="Budget_CfgOA_2023" sheetId="3" state="hidden" r:id="rId11"/>
    <sheet name="draaitabel kosten  23" sheetId="12" state="hidden" r:id="rId12"/>
    <sheet name="VROA - aantal leden" sheetId="5" state="hidden" r:id="rId13"/>
  </sheets>
  <externalReferences>
    <externalReference r:id="rId14"/>
  </externalReferences>
  <definedNames>
    <definedName name="_xlnm._FilterDatabase" localSheetId="10" hidden="1">Budget_CfgOA_2023!$A$1:$I$141</definedName>
    <definedName name="_xlnm._FilterDatabase" localSheetId="8" hidden="1">'facturen-2023'!$A$1:$N$350</definedName>
    <definedName name="BCBWBAT1">#REF!</definedName>
    <definedName name="BCBWGEN">#REF!</definedName>
    <definedName name="BCBWMA">#REF!</definedName>
    <definedName name="BCBWREM">#REF!</definedName>
    <definedName name="CFGBAT1">#REF!</definedName>
    <definedName name="CFGGEN">#REF!</definedName>
    <definedName name="CFGREM">#REF!</definedName>
    <definedName name="HAIBAT1">#REF!</definedName>
    <definedName name="HAIGEN">#REF!</definedName>
    <definedName name="HAIMA">#REF!</definedName>
    <definedName name="HAIREM">#REF!</definedName>
    <definedName name="_xlnm.Print_Titles" localSheetId="0">'Tableau principal - Hoofdtabel'!$1:$2</definedName>
    <definedName name="LIEBAT1">#REF!</definedName>
    <definedName name="LIEGEN">#REF!</definedName>
    <definedName name="LIEMA">#REF!</definedName>
    <definedName name="LIEREM">#REF!</definedName>
    <definedName name="LUXBAT1">#REF!</definedName>
    <definedName name="LUXGEN">#REF!</definedName>
    <definedName name="LUXMA">#REF!</definedName>
    <definedName name="LUXREM">#REF!</definedName>
    <definedName name="NAMBAT1">#REF!</definedName>
    <definedName name="NAMGEN">#REF!</definedName>
    <definedName name="NAMMA">#REF!</definedName>
    <definedName name="NAMREM">#REF!</definedName>
    <definedName name="_xlnm.Print_Area" localSheetId="0">'Tableau principal - Hoofdtabel'!$A$1:$Z$182</definedName>
  </definedNames>
  <calcPr calcId="191029"/>
  <pivotCaches>
    <pivotCache cacheId="0" r:id="rId1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158" i="1" l="1"/>
  <c r="T158" i="1"/>
  <c r="U158" i="1"/>
  <c r="X158" i="1"/>
  <c r="V158" i="1" s="1"/>
  <c r="Y158" i="1"/>
  <c r="N159" i="1"/>
  <c r="R159" i="1"/>
  <c r="V159" i="1"/>
  <c r="J160" i="1"/>
  <c r="L160" i="1"/>
  <c r="L158" i="1" s="1"/>
  <c r="M160" i="1"/>
  <c r="M158" i="1" s="1"/>
  <c r="P160" i="1"/>
  <c r="N160" i="1" s="1"/>
  <c r="Q160" i="1"/>
  <c r="Q158" i="1" s="1"/>
  <c r="Q164" i="1" s="1"/>
  <c r="R160" i="1"/>
  <c r="V160" i="1"/>
  <c r="J161" i="1"/>
  <c r="L161" i="1"/>
  <c r="M161" i="1"/>
  <c r="P161" i="1"/>
  <c r="N161" i="1" s="1"/>
  <c r="Q161" i="1"/>
  <c r="R161" i="1"/>
  <c r="V161" i="1"/>
  <c r="L162" i="1"/>
  <c r="N162" i="1"/>
  <c r="L164" i="1"/>
  <c r="J164" i="1" s="1"/>
  <c r="M164" i="1"/>
  <c r="M162" i="1" s="1"/>
  <c r="J162" i="1" s="1"/>
  <c r="T170" i="1"/>
  <c r="T155" i="1" s="1"/>
  <c r="U173" i="1"/>
  <c r="Y173" i="1"/>
  <c r="U174" i="1"/>
  <c r="Y174" i="1"/>
  <c r="U175" i="1"/>
  <c r="Y175" i="1"/>
  <c r="T176" i="1"/>
  <c r="X176" i="1"/>
  <c r="U179" i="1"/>
  <c r="Y179" i="1"/>
  <c r="U180" i="1"/>
  <c r="Y180" i="1"/>
  <c r="U181" i="1"/>
  <c r="Y181" i="1"/>
  <c r="T182" i="1"/>
  <c r="X182" i="1"/>
  <c r="T3" i="1"/>
  <c r="U3" i="1"/>
  <c r="S4" i="1"/>
  <c r="S3" i="1" s="1"/>
  <c r="R5" i="1"/>
  <c r="R6" i="1"/>
  <c r="R7" i="1"/>
  <c r="R8" i="1"/>
  <c r="R9" i="1"/>
  <c r="R10" i="1"/>
  <c r="R11" i="1"/>
  <c r="R12" i="1"/>
  <c r="R13" i="1"/>
  <c r="R14" i="1"/>
  <c r="R15" i="1"/>
  <c r="R16" i="1"/>
  <c r="S17" i="1"/>
  <c r="T17" i="1"/>
  <c r="U17" i="1"/>
  <c r="R17" i="1" s="1"/>
  <c r="R18" i="1"/>
  <c r="R19" i="1"/>
  <c r="R20" i="1"/>
  <c r="R21" i="1"/>
  <c r="R22" i="1"/>
  <c r="R23" i="1"/>
  <c r="R24" i="1"/>
  <c r="R25" i="1"/>
  <c r="R26" i="1"/>
  <c r="R27" i="1"/>
  <c r="R28" i="1"/>
  <c r="R29" i="1"/>
  <c r="R30" i="1"/>
  <c r="T31" i="1"/>
  <c r="U31" i="1"/>
  <c r="R32" i="1"/>
  <c r="R33" i="1"/>
  <c r="R35" i="1"/>
  <c r="R36" i="1"/>
  <c r="R37" i="1"/>
  <c r="R38" i="1"/>
  <c r="R39" i="1"/>
  <c r="R40" i="1"/>
  <c r="T41" i="1"/>
  <c r="U41" i="1"/>
  <c r="R45" i="1"/>
  <c r="R46" i="1"/>
  <c r="S47" i="1"/>
  <c r="T47" i="1"/>
  <c r="U47" i="1"/>
  <c r="R48" i="1"/>
  <c r="R49" i="1"/>
  <c r="R50" i="1"/>
  <c r="R51" i="1"/>
  <c r="R52" i="1"/>
  <c r="R53" i="1"/>
  <c r="R54" i="1"/>
  <c r="R55" i="1"/>
  <c r="R56" i="1"/>
  <c r="R57" i="1"/>
  <c r="R58" i="1"/>
  <c r="R59" i="1"/>
  <c r="R60" i="1"/>
  <c r="R61" i="1"/>
  <c r="R62" i="1"/>
  <c r="R63" i="1"/>
  <c r="R64" i="1"/>
  <c r="R65" i="1"/>
  <c r="R66" i="1"/>
  <c r="R67" i="1"/>
  <c r="R68" i="1"/>
  <c r="R69" i="1"/>
  <c r="R70" i="1"/>
  <c r="R71" i="1"/>
  <c r="S72" i="1"/>
  <c r="T72" i="1"/>
  <c r="U72" i="1"/>
  <c r="R73" i="1"/>
  <c r="R74" i="1"/>
  <c r="R75" i="1"/>
  <c r="R76" i="1"/>
  <c r="R77" i="1"/>
  <c r="R78" i="1"/>
  <c r="R79" i="1"/>
  <c r="R80" i="1"/>
  <c r="S81" i="1"/>
  <c r="T81" i="1"/>
  <c r="U81" i="1"/>
  <c r="R82" i="1"/>
  <c r="R83" i="1"/>
  <c r="R84" i="1"/>
  <c r="R85" i="1"/>
  <c r="R86" i="1"/>
  <c r="R87" i="1"/>
  <c r="R88" i="1"/>
  <c r="R89" i="1"/>
  <c r="R90" i="1"/>
  <c r="R91" i="1"/>
  <c r="R92" i="1"/>
  <c r="R93" i="1"/>
  <c r="R94" i="1"/>
  <c r="S96" i="1"/>
  <c r="T96" i="1"/>
  <c r="U96" i="1"/>
  <c r="R97" i="1"/>
  <c r="R98" i="1"/>
  <c r="R99" i="1"/>
  <c r="R100" i="1"/>
  <c r="R101" i="1"/>
  <c r="R102" i="1"/>
  <c r="R103" i="1"/>
  <c r="R104" i="1"/>
  <c r="R105" i="1"/>
  <c r="R106" i="1"/>
  <c r="R107" i="1"/>
  <c r="R108" i="1"/>
  <c r="R109" i="1"/>
  <c r="R110" i="1"/>
  <c r="R111" i="1"/>
  <c r="R112" i="1"/>
  <c r="R113" i="1"/>
  <c r="R114" i="1"/>
  <c r="R115" i="1"/>
  <c r="S117" i="1"/>
  <c r="T117" i="1"/>
  <c r="U117" i="1"/>
  <c r="R118" i="1"/>
  <c r="R119" i="1"/>
  <c r="S121" i="1"/>
  <c r="R121" i="1" s="1"/>
  <c r="T121" i="1"/>
  <c r="U121" i="1"/>
  <c r="R122" i="1"/>
  <c r="R123" i="1"/>
  <c r="R124" i="1"/>
  <c r="R125" i="1"/>
  <c r="R126" i="1"/>
  <c r="R127" i="1"/>
  <c r="R128" i="1"/>
  <c r="R129" i="1"/>
  <c r="R130" i="1"/>
  <c r="R131" i="1"/>
  <c r="R132" i="1"/>
  <c r="S134" i="1"/>
  <c r="T134" i="1"/>
  <c r="R134" i="1" s="1"/>
  <c r="U134" i="1"/>
  <c r="R135" i="1"/>
  <c r="R136" i="1"/>
  <c r="R137" i="1"/>
  <c r="R138" i="1"/>
  <c r="R139" i="1"/>
  <c r="R140" i="1"/>
  <c r="S142" i="1"/>
  <c r="R142" i="1" s="1"/>
  <c r="T142" i="1"/>
  <c r="U142" i="1"/>
  <c r="R143" i="1"/>
  <c r="R144" i="1"/>
  <c r="S146" i="1"/>
  <c r="R146" i="1" s="1"/>
  <c r="T146" i="1"/>
  <c r="U146" i="1"/>
  <c r="R147" i="1"/>
  <c r="R148" i="1"/>
  <c r="R149" i="1"/>
  <c r="S150" i="1"/>
  <c r="T150" i="1"/>
  <c r="U150" i="1"/>
  <c r="R151" i="1"/>
  <c r="R152" i="1"/>
  <c r="R153" i="1"/>
  <c r="T154" i="1"/>
  <c r="U154" i="1"/>
  <c r="K3" i="1"/>
  <c r="L4" i="1"/>
  <c r="M4" i="1"/>
  <c r="O4" i="1"/>
  <c r="P4" i="1"/>
  <c r="Q4" i="1"/>
  <c r="M5" i="1"/>
  <c r="J5" i="1" s="1"/>
  <c r="Q5" i="1"/>
  <c r="N5" i="1" s="1"/>
  <c r="L6" i="1"/>
  <c r="M6" i="1"/>
  <c r="P6" i="1"/>
  <c r="Q6" i="1"/>
  <c r="M7" i="1"/>
  <c r="J7" i="1" s="1"/>
  <c r="Q7" i="1"/>
  <c r="N7" i="1" s="1"/>
  <c r="M8" i="1"/>
  <c r="J8" i="1" s="1"/>
  <c r="Q8" i="1"/>
  <c r="N8" i="1" s="1"/>
  <c r="M9" i="1"/>
  <c r="J9" i="1" s="1"/>
  <c r="Q9" i="1"/>
  <c r="N9" i="1" s="1"/>
  <c r="L10" i="1"/>
  <c r="J10" i="1" s="1"/>
  <c r="M10" i="1"/>
  <c r="O10" i="1"/>
  <c r="P10" i="1"/>
  <c r="Q10" i="1"/>
  <c r="L11" i="1"/>
  <c r="M11" i="1"/>
  <c r="P11" i="1"/>
  <c r="Q11" i="1"/>
  <c r="M12" i="1"/>
  <c r="J12" i="1" s="1"/>
  <c r="Q12" i="1"/>
  <c r="N12" i="1" s="1"/>
  <c r="M13" i="1"/>
  <c r="J13" i="1" s="1"/>
  <c r="Q13" i="1"/>
  <c r="N13" i="1" s="1"/>
  <c r="J14" i="1"/>
  <c r="N14" i="1"/>
  <c r="L15" i="1"/>
  <c r="M15" i="1"/>
  <c r="O15" i="1"/>
  <c r="P15" i="1"/>
  <c r="Q15" i="1"/>
  <c r="J16" i="1"/>
  <c r="P16" i="1"/>
  <c r="N16" i="1" s="1"/>
  <c r="K17" i="1"/>
  <c r="L18" i="1"/>
  <c r="M18" i="1"/>
  <c r="O18" i="1"/>
  <c r="P18" i="1"/>
  <c r="Q18" i="1"/>
  <c r="L19" i="1"/>
  <c r="M19" i="1"/>
  <c r="O19" i="1"/>
  <c r="P19" i="1"/>
  <c r="Q19" i="1"/>
  <c r="L20" i="1"/>
  <c r="M20" i="1"/>
  <c r="P20" i="1"/>
  <c r="Q20" i="1"/>
  <c r="L21" i="1"/>
  <c r="M21" i="1"/>
  <c r="P21" i="1"/>
  <c r="N21" i="1" s="1"/>
  <c r="Q21" i="1"/>
  <c r="M22" i="1"/>
  <c r="J22" i="1" s="1"/>
  <c r="Q22" i="1"/>
  <c r="N22" i="1" s="1"/>
  <c r="L23" i="1"/>
  <c r="M23" i="1"/>
  <c r="P23" i="1"/>
  <c r="N23" i="1" s="1"/>
  <c r="Q23" i="1"/>
  <c r="L24" i="1"/>
  <c r="M24" i="1"/>
  <c r="J24" i="1" s="1"/>
  <c r="O24" i="1"/>
  <c r="Y182" i="1" l="1"/>
  <c r="Y162" i="1" s="1"/>
  <c r="R158" i="1"/>
  <c r="N158" i="1"/>
  <c r="Y176" i="1"/>
  <c r="X162" i="1" s="1"/>
  <c r="X164" i="1" s="1"/>
  <c r="U176" i="1"/>
  <c r="T162" i="1" s="1"/>
  <c r="T164" i="1" s="1"/>
  <c r="U182" i="1"/>
  <c r="U162" i="1" s="1"/>
  <c r="U164" i="1" s="1"/>
  <c r="Y164" i="1"/>
  <c r="R162" i="1"/>
  <c r="J158" i="1"/>
  <c r="N4" i="1"/>
  <c r="R81" i="1"/>
  <c r="N11" i="1"/>
  <c r="J4" i="1"/>
  <c r="P164" i="1"/>
  <c r="J19" i="1"/>
  <c r="J23" i="1"/>
  <c r="U156" i="1"/>
  <c r="T156" i="1"/>
  <c r="R156" i="1" s="1"/>
  <c r="R47" i="1"/>
  <c r="J11" i="1"/>
  <c r="R96" i="1"/>
  <c r="N10" i="1"/>
  <c r="R150" i="1"/>
  <c r="N15" i="1"/>
  <c r="R154" i="1"/>
  <c r="R117" i="1"/>
  <c r="R3" i="1"/>
  <c r="R72" i="1"/>
  <c r="N20" i="1"/>
  <c r="N6" i="1"/>
  <c r="N18" i="1"/>
  <c r="J20" i="1"/>
  <c r="L3" i="1"/>
  <c r="J3" i="1" s="1"/>
  <c r="O3" i="1"/>
  <c r="U155" i="1"/>
  <c r="R4" i="1"/>
  <c r="J21" i="1"/>
  <c r="N19" i="1"/>
  <c r="J18" i="1"/>
  <c r="J15" i="1"/>
  <c r="Q3" i="1"/>
  <c r="P3" i="1"/>
  <c r="N24" i="1"/>
  <c r="O17" i="1"/>
  <c r="J6" i="1"/>
  <c r="M3" i="1"/>
  <c r="Q24" i="1"/>
  <c r="L25" i="1"/>
  <c r="M25" i="1"/>
  <c r="P25" i="1"/>
  <c r="Q25" i="1"/>
  <c r="L26" i="1"/>
  <c r="J26" i="1" s="1"/>
  <c r="P26" i="1"/>
  <c r="N26" i="1" s="1"/>
  <c r="L27" i="1"/>
  <c r="M27" i="1"/>
  <c r="P27" i="1"/>
  <c r="Q27" i="1"/>
  <c r="J28" i="1"/>
  <c r="Q28" i="1"/>
  <c r="N28" i="1" s="1"/>
  <c r="M29" i="1"/>
  <c r="J29" i="1" s="1"/>
  <c r="Q29" i="1"/>
  <c r="N29" i="1" s="1"/>
  <c r="L30" i="1"/>
  <c r="J30" i="1" s="1"/>
  <c r="N30" i="1"/>
  <c r="K31" i="1"/>
  <c r="L32" i="1"/>
  <c r="J32" i="1" s="1"/>
  <c r="M32" i="1"/>
  <c r="P32" i="1"/>
  <c r="Q32" i="1"/>
  <c r="J33" i="1"/>
  <c r="N33" i="1"/>
  <c r="L34" i="1"/>
  <c r="J34" i="1" s="1"/>
  <c r="M34" i="1"/>
  <c r="O34" i="1"/>
  <c r="P34" i="1"/>
  <c r="Q34" i="1"/>
  <c r="L35" i="1"/>
  <c r="M35" i="1"/>
  <c r="P35" i="1"/>
  <c r="Q35" i="1"/>
  <c r="L36" i="1"/>
  <c r="J36" i="1" s="1"/>
  <c r="P36" i="1"/>
  <c r="N36" i="1" s="1"/>
  <c r="J37" i="1"/>
  <c r="N37" i="1"/>
  <c r="M38" i="1"/>
  <c r="Q38" i="1"/>
  <c r="N38" i="1" s="1"/>
  <c r="J39" i="1"/>
  <c r="N39" i="1"/>
  <c r="J40" i="1"/>
  <c r="N40" i="1"/>
  <c r="K41" i="1"/>
  <c r="L42" i="1"/>
  <c r="M42" i="1"/>
  <c r="O42" i="1"/>
  <c r="P42" i="1"/>
  <c r="Q42" i="1"/>
  <c r="L43" i="1"/>
  <c r="M43" i="1"/>
  <c r="O43" i="1"/>
  <c r="P43" i="1"/>
  <c r="Q43" i="1"/>
  <c r="L44" i="1"/>
  <c r="M44" i="1"/>
  <c r="O44" i="1"/>
  <c r="S44" i="1" s="1"/>
  <c r="R44" i="1" s="1"/>
  <c r="P44" i="1"/>
  <c r="Q44" i="1"/>
  <c r="J45" i="1"/>
  <c r="O45" i="1"/>
  <c r="N45" i="1" s="1"/>
  <c r="J46" i="1"/>
  <c r="N46" i="1"/>
  <c r="K48" i="1"/>
  <c r="K47" i="1" s="1"/>
  <c r="O48" i="1"/>
  <c r="N48" i="1" s="1"/>
  <c r="M49" i="1"/>
  <c r="J49" i="1" s="1"/>
  <c r="Q49" i="1"/>
  <c r="N49" i="1" s="1"/>
  <c r="L50" i="1"/>
  <c r="J50" i="1" s="1"/>
  <c r="P50" i="1"/>
  <c r="N50" i="1" s="1"/>
  <c r="M51" i="1"/>
  <c r="J51" i="1" s="1"/>
  <c r="Q51" i="1"/>
  <c r="N51" i="1" s="1"/>
  <c r="L52" i="1"/>
  <c r="J52" i="1" s="1"/>
  <c r="P52" i="1"/>
  <c r="N52" i="1" s="1"/>
  <c r="M53" i="1"/>
  <c r="J53" i="1" s="1"/>
  <c r="Q53" i="1"/>
  <c r="L54" i="1"/>
  <c r="J54" i="1" s="1"/>
  <c r="P54" i="1"/>
  <c r="N54" i="1" s="1"/>
  <c r="J55" i="1"/>
  <c r="O55" i="1"/>
  <c r="N55" i="1" s="1"/>
  <c r="M56" i="1"/>
  <c r="J56" i="1" s="1"/>
  <c r="Q56" i="1"/>
  <c r="N56" i="1" s="1"/>
  <c r="L57" i="1"/>
  <c r="J57" i="1" s="1"/>
  <c r="P57" i="1"/>
  <c r="N57" i="1" s="1"/>
  <c r="M58" i="1"/>
  <c r="J58" i="1" s="1"/>
  <c r="Q58" i="1"/>
  <c r="N58" i="1" s="1"/>
  <c r="L59" i="1"/>
  <c r="J59" i="1" s="1"/>
  <c r="P59" i="1"/>
  <c r="N59" i="1" s="1"/>
  <c r="M60" i="1"/>
  <c r="J60" i="1" s="1"/>
  <c r="Q60" i="1"/>
  <c r="N60" i="1" s="1"/>
  <c r="L61" i="1"/>
  <c r="J61" i="1" s="1"/>
  <c r="P61" i="1"/>
  <c r="N61" i="1" s="1"/>
  <c r="L62" i="1"/>
  <c r="M62" i="1"/>
  <c r="P62" i="1"/>
  <c r="Q62" i="1"/>
  <c r="L63" i="1"/>
  <c r="M63" i="1"/>
  <c r="P63" i="1"/>
  <c r="Q63" i="1"/>
  <c r="L64" i="1"/>
  <c r="J64" i="1" s="1"/>
  <c r="M64" i="1"/>
  <c r="P64" i="1"/>
  <c r="Q64" i="1"/>
  <c r="L65" i="1"/>
  <c r="M65" i="1"/>
  <c r="P65" i="1"/>
  <c r="Q65" i="1"/>
  <c r="J66" i="1"/>
  <c r="L66" i="1"/>
  <c r="P66" i="1"/>
  <c r="N66" i="1" s="1"/>
  <c r="L67" i="1"/>
  <c r="J67" i="1" s="1"/>
  <c r="M67" i="1"/>
  <c r="P67" i="1"/>
  <c r="Q67" i="1"/>
  <c r="J68" i="1"/>
  <c r="N68" i="1"/>
  <c r="J69" i="1"/>
  <c r="N69" i="1"/>
  <c r="L70" i="1"/>
  <c r="M70" i="1"/>
  <c r="P70" i="1"/>
  <c r="Q70" i="1"/>
  <c r="J71" i="1"/>
  <c r="L71" i="1"/>
  <c r="N71" i="1"/>
  <c r="L72" i="1"/>
  <c r="P72" i="1"/>
  <c r="M73" i="1"/>
  <c r="M72" i="1" s="1"/>
  <c r="Q73" i="1"/>
  <c r="Q72" i="1" s="1"/>
  <c r="J74" i="1"/>
  <c r="N74" i="1"/>
  <c r="J75" i="1"/>
  <c r="N75" i="1"/>
  <c r="J76" i="1"/>
  <c r="N76" i="1"/>
  <c r="J77" i="1"/>
  <c r="N77" i="1"/>
  <c r="J78" i="1"/>
  <c r="N78" i="1"/>
  <c r="K79" i="1"/>
  <c r="J79" i="1" s="1"/>
  <c r="O79" i="1"/>
  <c r="N79" i="1" s="1"/>
  <c r="J80" i="1"/>
  <c r="O80" i="1"/>
  <c r="N80" i="1" s="1"/>
  <c r="K81" i="1"/>
  <c r="O81" i="1"/>
  <c r="L82" i="1"/>
  <c r="M82" i="1"/>
  <c r="P82" i="1"/>
  <c r="Q82" i="1"/>
  <c r="M83" i="1"/>
  <c r="J83" i="1" s="1"/>
  <c r="Q83" i="1"/>
  <c r="N83" i="1" s="1"/>
  <c r="J84" i="1"/>
  <c r="Q84" i="1"/>
  <c r="L85" i="1"/>
  <c r="M85" i="1"/>
  <c r="P85" i="1"/>
  <c r="Q85" i="1"/>
  <c r="J86" i="1"/>
  <c r="N86" i="1"/>
  <c r="L87" i="1"/>
  <c r="J87" i="1" s="1"/>
  <c r="P87" i="1"/>
  <c r="N87" i="1" s="1"/>
  <c r="L88" i="1"/>
  <c r="J88" i="1" s="1"/>
  <c r="P88" i="1"/>
  <c r="N88" i="1" s="1"/>
  <c r="L89" i="1"/>
  <c r="J89" i="1" s="1"/>
  <c r="P89" i="1"/>
  <c r="Q89" i="1"/>
  <c r="L90" i="1"/>
  <c r="M90" i="1"/>
  <c r="P90" i="1"/>
  <c r="Q90" i="1"/>
  <c r="J91" i="1"/>
  <c r="N91" i="1"/>
  <c r="J92" i="1"/>
  <c r="P92" i="1"/>
  <c r="Q92" i="1"/>
  <c r="J93" i="1"/>
  <c r="P93" i="1"/>
  <c r="N93" i="1" s="1"/>
  <c r="L94" i="1"/>
  <c r="J94" i="1" s="1"/>
  <c r="P94" i="1"/>
  <c r="N94" i="1" s="1"/>
  <c r="K96" i="1"/>
  <c r="O96" i="1"/>
  <c r="L97" i="1"/>
  <c r="M97" i="1"/>
  <c r="P97" i="1"/>
  <c r="N97" i="1" s="1"/>
  <c r="Q97" i="1"/>
  <c r="M98" i="1"/>
  <c r="J98" i="1" s="1"/>
  <c r="Q98" i="1"/>
  <c r="N98" i="1" s="1"/>
  <c r="M99" i="1"/>
  <c r="Q99" i="1"/>
  <c r="N99" i="1" s="1"/>
  <c r="N100" i="1"/>
  <c r="M101" i="1"/>
  <c r="J101" i="1" s="1"/>
  <c r="Q101" i="1"/>
  <c r="N101" i="1" s="1"/>
  <c r="J102" i="1"/>
  <c r="M102" i="1"/>
  <c r="Q102" i="1"/>
  <c r="N102" i="1" s="1"/>
  <c r="L103" i="1"/>
  <c r="M103" i="1"/>
  <c r="P103" i="1"/>
  <c r="Q103" i="1"/>
  <c r="L104" i="1"/>
  <c r="M104" i="1"/>
  <c r="P104" i="1"/>
  <c r="N104" i="1" s="1"/>
  <c r="L105" i="1"/>
  <c r="J105" i="1" s="1"/>
  <c r="P105" i="1"/>
  <c r="N105" i="1" s="1"/>
  <c r="L106" i="1"/>
  <c r="M106" i="1"/>
  <c r="Q106" i="1"/>
  <c r="N106" i="1" s="1"/>
  <c r="M107" i="1"/>
  <c r="J107" i="1" s="1"/>
  <c r="Q107" i="1"/>
  <c r="N107" i="1" s="1"/>
  <c r="L108" i="1"/>
  <c r="M108" i="1"/>
  <c r="P108" i="1"/>
  <c r="Q108" i="1"/>
  <c r="L109" i="1"/>
  <c r="M109" i="1"/>
  <c r="P109" i="1"/>
  <c r="Q109" i="1"/>
  <c r="L110" i="1"/>
  <c r="M110" i="1"/>
  <c r="P110" i="1"/>
  <c r="Q110" i="1"/>
  <c r="L111" i="1"/>
  <c r="J111" i="1" s="1"/>
  <c r="P111" i="1"/>
  <c r="N111" i="1" s="1"/>
  <c r="L112" i="1"/>
  <c r="M112" i="1"/>
  <c r="P112" i="1"/>
  <c r="N112" i="1" s="1"/>
  <c r="L113" i="1"/>
  <c r="J113" i="1" s="1"/>
  <c r="P113" i="1"/>
  <c r="N113" i="1" s="1"/>
  <c r="M114" i="1"/>
  <c r="J114" i="1" s="1"/>
  <c r="Q114" i="1"/>
  <c r="N114" i="1" s="1"/>
  <c r="L115" i="1"/>
  <c r="J115" i="1" s="1"/>
  <c r="P115" i="1"/>
  <c r="N115" i="1" s="1"/>
  <c r="K117" i="1"/>
  <c r="M117" i="1"/>
  <c r="O117" i="1"/>
  <c r="Q117" i="1"/>
  <c r="J118" i="1"/>
  <c r="N118" i="1"/>
  <c r="L119" i="1"/>
  <c r="L117" i="1" s="1"/>
  <c r="P119" i="1"/>
  <c r="P117" i="1" s="1"/>
  <c r="C121" i="1"/>
  <c r="D121" i="1"/>
  <c r="E121" i="1"/>
  <c r="G121" i="1"/>
  <c r="H121" i="1"/>
  <c r="I121" i="1"/>
  <c r="K121" i="1"/>
  <c r="O121" i="1"/>
  <c r="B122" i="1"/>
  <c r="F122" i="1"/>
  <c r="L122" i="1"/>
  <c r="M122" i="1"/>
  <c r="P122" i="1"/>
  <c r="Q122" i="1"/>
  <c r="B123" i="1"/>
  <c r="F123" i="1"/>
  <c r="L123" i="1"/>
  <c r="M123" i="1"/>
  <c r="P123" i="1"/>
  <c r="Q123" i="1"/>
  <c r="B124" i="1"/>
  <c r="F124" i="1"/>
  <c r="J124" i="1"/>
  <c r="N124" i="1"/>
  <c r="B125" i="1"/>
  <c r="F125" i="1"/>
  <c r="L125" i="1"/>
  <c r="M125" i="1"/>
  <c r="P125" i="1"/>
  <c r="Q125" i="1"/>
  <c r="B126" i="1"/>
  <c r="F126" i="1"/>
  <c r="L126" i="1"/>
  <c r="M126" i="1"/>
  <c r="P126" i="1"/>
  <c r="Q126" i="1"/>
  <c r="B127" i="1"/>
  <c r="F127" i="1"/>
  <c r="M127" i="1"/>
  <c r="J127" i="1" s="1"/>
  <c r="Q127" i="1"/>
  <c r="N127" i="1" s="1"/>
  <c r="B128" i="1"/>
  <c r="F128" i="1"/>
  <c r="L128" i="1"/>
  <c r="M128" i="1"/>
  <c r="P128" i="1"/>
  <c r="N128" i="1" s="1"/>
  <c r="Q128" i="1"/>
  <c r="B129" i="1"/>
  <c r="F129" i="1"/>
  <c r="L129" i="1"/>
  <c r="M129" i="1"/>
  <c r="P129" i="1"/>
  <c r="Q129" i="1"/>
  <c r="N129" i="1" s="1"/>
  <c r="B130" i="1"/>
  <c r="F130" i="1"/>
  <c r="L130" i="1"/>
  <c r="M130" i="1"/>
  <c r="P130" i="1"/>
  <c r="Q130" i="1"/>
  <c r="B131" i="1"/>
  <c r="F131" i="1"/>
  <c r="M131" i="1"/>
  <c r="J131" i="1" s="1"/>
  <c r="N131" i="1"/>
  <c r="B132" i="1"/>
  <c r="F132" i="1"/>
  <c r="M132" i="1"/>
  <c r="J132" i="1" s="1"/>
  <c r="N132" i="1"/>
  <c r="C134" i="1"/>
  <c r="D134" i="1"/>
  <c r="E134" i="1"/>
  <c r="G134" i="1"/>
  <c r="H134" i="1"/>
  <c r="I134" i="1"/>
  <c r="K134" i="1"/>
  <c r="B135" i="1"/>
  <c r="F135" i="1"/>
  <c r="J135" i="1"/>
  <c r="O135" i="1"/>
  <c r="N135" i="1" s="1"/>
  <c r="B136" i="1"/>
  <c r="F136" i="1"/>
  <c r="J136" i="1"/>
  <c r="N136" i="1"/>
  <c r="B137" i="1"/>
  <c r="F137" i="1"/>
  <c r="J137" i="1"/>
  <c r="N137" i="1"/>
  <c r="B138" i="1"/>
  <c r="F138" i="1"/>
  <c r="M138" i="1"/>
  <c r="J138" i="1" s="1"/>
  <c r="Q138" i="1"/>
  <c r="N138" i="1" s="1"/>
  <c r="B139" i="1"/>
  <c r="F139" i="1"/>
  <c r="L139" i="1"/>
  <c r="L134" i="1" s="1"/>
  <c r="M139" i="1"/>
  <c r="P139" i="1"/>
  <c r="Q139" i="1"/>
  <c r="Q134" i="1" s="1"/>
  <c r="B140" i="1"/>
  <c r="F140" i="1"/>
  <c r="J140" i="1"/>
  <c r="N140" i="1"/>
  <c r="C142" i="1"/>
  <c r="D142" i="1"/>
  <c r="E142" i="1"/>
  <c r="G142" i="1"/>
  <c r="H142" i="1"/>
  <c r="I142" i="1"/>
  <c r="K142" i="1"/>
  <c r="L142" i="1"/>
  <c r="M142" i="1"/>
  <c r="O142" i="1"/>
  <c r="P142" i="1"/>
  <c r="Q142" i="1"/>
  <c r="B143" i="1"/>
  <c r="F143" i="1"/>
  <c r="F142" i="1" s="1"/>
  <c r="J143" i="1"/>
  <c r="N143" i="1"/>
  <c r="B144" i="1"/>
  <c r="J144" i="1"/>
  <c r="N144" i="1"/>
  <c r="C146" i="1"/>
  <c r="D146" i="1"/>
  <c r="E146" i="1"/>
  <c r="G146" i="1"/>
  <c r="H146" i="1"/>
  <c r="I146" i="1"/>
  <c r="K146" i="1"/>
  <c r="B147" i="1"/>
  <c r="F147" i="1"/>
  <c r="L147" i="1"/>
  <c r="O147" i="1"/>
  <c r="P147" i="1"/>
  <c r="Q147" i="1"/>
  <c r="B148" i="1"/>
  <c r="F148" i="1"/>
  <c r="J148" i="1"/>
  <c r="O148" i="1"/>
  <c r="U166" i="1" l="1"/>
  <c r="V162" i="1"/>
  <c r="Y169" i="1" s="1"/>
  <c r="N70" i="1"/>
  <c r="J27" i="1"/>
  <c r="N164" i="1"/>
  <c r="O134" i="1"/>
  <c r="J35" i="1"/>
  <c r="J130" i="1"/>
  <c r="N65" i="1"/>
  <c r="N90" i="1"/>
  <c r="N67" i="1"/>
  <c r="N63" i="1"/>
  <c r="J109" i="1"/>
  <c r="V164" i="1"/>
  <c r="R164" i="1"/>
  <c r="T166" i="1"/>
  <c r="R166" i="1" s="1"/>
  <c r="Q31" i="1"/>
  <c r="N109" i="1"/>
  <c r="J103" i="1"/>
  <c r="N92" i="1"/>
  <c r="J106" i="1"/>
  <c r="N130" i="1"/>
  <c r="J126" i="1"/>
  <c r="J123" i="1"/>
  <c r="J117" i="1"/>
  <c r="J110" i="1"/>
  <c r="J108" i="1"/>
  <c r="N35" i="1"/>
  <c r="N27" i="1"/>
  <c r="J25" i="1"/>
  <c r="N142" i="1"/>
  <c r="N85" i="1"/>
  <c r="J62" i="1"/>
  <c r="J44" i="1"/>
  <c r="O41" i="1"/>
  <c r="Q41" i="1"/>
  <c r="M31" i="1"/>
  <c r="J142" i="1"/>
  <c r="Q121" i="1"/>
  <c r="L81" i="1"/>
  <c r="J82" i="1"/>
  <c r="J42" i="1"/>
  <c r="M96" i="1"/>
  <c r="N147" i="1"/>
  <c r="M134" i="1"/>
  <c r="J134" i="1" s="1"/>
  <c r="N125" i="1"/>
  <c r="N122" i="1"/>
  <c r="N89" i="1"/>
  <c r="Q47" i="1"/>
  <c r="N43" i="1"/>
  <c r="S43" i="1"/>
  <c r="R43" i="1" s="1"/>
  <c r="N134" i="1"/>
  <c r="L96" i="1"/>
  <c r="J96" i="1" s="1"/>
  <c r="M41" i="1"/>
  <c r="P31" i="1"/>
  <c r="Q96" i="1"/>
  <c r="B142" i="1"/>
  <c r="J128" i="1"/>
  <c r="N126" i="1"/>
  <c r="J125" i="1"/>
  <c r="P121" i="1"/>
  <c r="L121" i="1"/>
  <c r="N117" i="1"/>
  <c r="N110" i="1"/>
  <c r="O72" i="1"/>
  <c r="N72" i="1" s="1"/>
  <c r="M47" i="1"/>
  <c r="J43" i="1"/>
  <c r="N34" i="1"/>
  <c r="S34" i="1"/>
  <c r="F134" i="1"/>
  <c r="J129" i="1"/>
  <c r="F121" i="1"/>
  <c r="N108" i="1"/>
  <c r="N103" i="1"/>
  <c r="P81" i="1"/>
  <c r="J70" i="1"/>
  <c r="J65" i="1"/>
  <c r="N44" i="1"/>
  <c r="B134" i="1"/>
  <c r="B121" i="1"/>
  <c r="K72" i="1"/>
  <c r="J72" i="1" s="1"/>
  <c r="L47" i="1"/>
  <c r="J47" i="1" s="1"/>
  <c r="P41" i="1"/>
  <c r="J112" i="1"/>
  <c r="Q81" i="1"/>
  <c r="N64" i="1"/>
  <c r="N42" i="1"/>
  <c r="S42" i="1"/>
  <c r="N139" i="1"/>
  <c r="P134" i="1"/>
  <c r="J97" i="1"/>
  <c r="J90" i="1"/>
  <c r="N62" i="1"/>
  <c r="M17" i="1"/>
  <c r="N3" i="1"/>
  <c r="N148" i="1"/>
  <c r="N119" i="1"/>
  <c r="N123" i="1"/>
  <c r="J147" i="1"/>
  <c r="J119" i="1"/>
  <c r="J85" i="1"/>
  <c r="N73" i="1"/>
  <c r="J48" i="1"/>
  <c r="L41" i="1"/>
  <c r="O31" i="1"/>
  <c r="Q17" i="1"/>
  <c r="M121" i="1"/>
  <c r="J122" i="1"/>
  <c r="P96" i="1"/>
  <c r="N96" i="1" s="1"/>
  <c r="N84" i="1"/>
  <c r="N82" i="1"/>
  <c r="M81" i="1"/>
  <c r="J73" i="1"/>
  <c r="N53" i="1"/>
  <c r="P47" i="1"/>
  <c r="J38" i="1"/>
  <c r="N32" i="1"/>
  <c r="J63" i="1"/>
  <c r="O47" i="1"/>
  <c r="L31" i="1"/>
  <c r="P17" i="1"/>
  <c r="L17" i="1"/>
  <c r="J139" i="1"/>
  <c r="J104" i="1"/>
  <c r="N25" i="1"/>
  <c r="J99" i="1"/>
  <c r="B149" i="1"/>
  <c r="B146" i="1" s="1"/>
  <c r="F149" i="1"/>
  <c r="F146" i="1" s="1"/>
  <c r="L149" i="1"/>
  <c r="L146" i="1" s="1"/>
  <c r="M149" i="1"/>
  <c r="M146" i="1" s="1"/>
  <c r="O149" i="1"/>
  <c r="Y168" i="1" l="1"/>
  <c r="N121" i="1"/>
  <c r="J121" i="1"/>
  <c r="J17" i="1"/>
  <c r="N41" i="1"/>
  <c r="N31" i="1"/>
  <c r="J81" i="1"/>
  <c r="J41" i="1"/>
  <c r="J146" i="1"/>
  <c r="N17" i="1"/>
  <c r="J31" i="1"/>
  <c r="N47" i="1"/>
  <c r="S41" i="1"/>
  <c r="R42" i="1"/>
  <c r="R34" i="1"/>
  <c r="S31" i="1"/>
  <c r="R31" i="1" s="1"/>
  <c r="N81" i="1"/>
  <c r="O146" i="1"/>
  <c r="J149" i="1"/>
  <c r="P149" i="1"/>
  <c r="P146" i="1" s="1"/>
  <c r="Q149" i="1"/>
  <c r="Q146" i="1" s="1"/>
  <c r="C150" i="1"/>
  <c r="C156" i="1" s="1"/>
  <c r="D150" i="1"/>
  <c r="D156" i="1" s="1"/>
  <c r="E150" i="1"/>
  <c r="E156" i="1" s="1"/>
  <c r="G150" i="1"/>
  <c r="G156" i="1" s="1"/>
  <c r="H150" i="1"/>
  <c r="I150" i="1"/>
  <c r="I156" i="1" s="1"/>
  <c r="B151" i="1"/>
  <c r="F151" i="1"/>
  <c r="K151" i="1"/>
  <c r="O151" i="1" s="1"/>
  <c r="L151" i="1"/>
  <c r="M151" i="1"/>
  <c r="M150" i="1" s="1"/>
  <c r="P151" i="1"/>
  <c r="Q151" i="1"/>
  <c r="B152" i="1"/>
  <c r="F152" i="1"/>
  <c r="K152" i="1"/>
  <c r="L152" i="1"/>
  <c r="O152" i="1"/>
  <c r="P152" i="1"/>
  <c r="B153" i="1"/>
  <c r="F153" i="1"/>
  <c r="K153" i="1"/>
  <c r="L153" i="1"/>
  <c r="O153" i="1"/>
  <c r="P153" i="1"/>
  <c r="Q153" i="1"/>
  <c r="H156" i="1"/>
  <c r="Y138" i="1"/>
  <c r="Y107" i="1"/>
  <c r="Y102" i="1"/>
  <c r="Y44" i="1"/>
  <c r="Y5" i="1"/>
  <c r="B150" i="1" l="1"/>
  <c r="B156" i="1" s="1"/>
  <c r="J153" i="1"/>
  <c r="J152" i="1"/>
  <c r="F150" i="1"/>
  <c r="F156" i="1" s="1"/>
  <c r="Q150" i="1"/>
  <c r="R41" i="1"/>
  <c r="S156" i="1"/>
  <c r="P150" i="1"/>
  <c r="N152" i="1"/>
  <c r="N153" i="1"/>
  <c r="L150" i="1"/>
  <c r="O150" i="1"/>
  <c r="N151" i="1"/>
  <c r="M155" i="1"/>
  <c r="L155" i="1"/>
  <c r="K150" i="1"/>
  <c r="J151" i="1"/>
  <c r="N149" i="1"/>
  <c r="N146" i="1"/>
  <c r="W4" i="1"/>
  <c r="J150" i="1" l="1"/>
  <c r="K156" i="1"/>
  <c r="N150" i="1"/>
  <c r="O156" i="1"/>
  <c r="W55" i="1"/>
  <c r="V55" i="1" s="1"/>
  <c r="W48" i="1"/>
  <c r="W93" i="1"/>
  <c r="W81" i="1" s="1"/>
  <c r="W69" i="1"/>
  <c r="W73" i="1"/>
  <c r="W72" i="1" s="1"/>
  <c r="V153" i="1"/>
  <c r="V152" i="1"/>
  <c r="X150" i="1"/>
  <c r="V151" i="1"/>
  <c r="Y150" i="1"/>
  <c r="W150" i="1"/>
  <c r="V149" i="1"/>
  <c r="V148" i="1"/>
  <c r="V147" i="1"/>
  <c r="Y146" i="1"/>
  <c r="X146" i="1"/>
  <c r="W146" i="1"/>
  <c r="V144" i="1"/>
  <c r="V143" i="1"/>
  <c r="Y142" i="1"/>
  <c r="X142" i="1"/>
  <c r="W142" i="1"/>
  <c r="V140" i="1"/>
  <c r="V139" i="1"/>
  <c r="V138" i="1"/>
  <c r="V137" i="1"/>
  <c r="V136" i="1"/>
  <c r="V135" i="1"/>
  <c r="Y134" i="1"/>
  <c r="X134" i="1"/>
  <c r="W134" i="1"/>
  <c r="V132" i="1"/>
  <c r="V131" i="1"/>
  <c r="V130" i="1"/>
  <c r="V129" i="1"/>
  <c r="V128" i="1"/>
  <c r="V127" i="1"/>
  <c r="V126" i="1"/>
  <c r="V125" i="1"/>
  <c r="V124" i="1"/>
  <c r="V123" i="1"/>
  <c r="X121" i="1"/>
  <c r="V122" i="1"/>
  <c r="Y121" i="1"/>
  <c r="W121" i="1"/>
  <c r="V119" i="1"/>
  <c r="V118" i="1"/>
  <c r="Y117" i="1"/>
  <c r="X117" i="1"/>
  <c r="W117" i="1"/>
  <c r="V115" i="1"/>
  <c r="V114" i="1"/>
  <c r="V113" i="1"/>
  <c r="V112" i="1"/>
  <c r="V111" i="1"/>
  <c r="V110" i="1"/>
  <c r="V109" i="1"/>
  <c r="V108" i="1"/>
  <c r="V107" i="1"/>
  <c r="V106" i="1"/>
  <c r="V105" i="1"/>
  <c r="V104" i="1"/>
  <c r="V103" i="1"/>
  <c r="V102" i="1"/>
  <c r="V101" i="1"/>
  <c r="V100" i="1"/>
  <c r="V99" i="1"/>
  <c r="V98" i="1"/>
  <c r="V97" i="1"/>
  <c r="Y96" i="1"/>
  <c r="W96" i="1"/>
  <c r="V94" i="1"/>
  <c r="V92" i="1"/>
  <c r="V91" i="1"/>
  <c r="V90" i="1"/>
  <c r="V89" i="1"/>
  <c r="V88" i="1"/>
  <c r="V87" i="1"/>
  <c r="V86" i="1"/>
  <c r="V85" i="1"/>
  <c r="V84" i="1"/>
  <c r="V83" i="1"/>
  <c r="X81" i="1"/>
  <c r="V82" i="1"/>
  <c r="Y81" i="1"/>
  <c r="V80" i="1"/>
  <c r="V79" i="1"/>
  <c r="V78" i="1"/>
  <c r="V77" i="1"/>
  <c r="V76" i="1"/>
  <c r="V75" i="1"/>
  <c r="V74" i="1"/>
  <c r="Y72" i="1"/>
  <c r="X72" i="1"/>
  <c r="V71" i="1"/>
  <c r="V70" i="1"/>
  <c r="V68" i="1"/>
  <c r="V67" i="1"/>
  <c r="V66" i="1"/>
  <c r="V65" i="1"/>
  <c r="V64" i="1"/>
  <c r="V63" i="1"/>
  <c r="V62" i="1"/>
  <c r="V61" i="1"/>
  <c r="V60" i="1"/>
  <c r="V59" i="1"/>
  <c r="V58" i="1"/>
  <c r="V57" i="1"/>
  <c r="V56" i="1"/>
  <c r="V54" i="1"/>
  <c r="V53" i="1"/>
  <c r="V52" i="1"/>
  <c r="V51" i="1"/>
  <c r="V50" i="1"/>
  <c r="V49" i="1"/>
  <c r="Y47" i="1"/>
  <c r="V46" i="1"/>
  <c r="V45" i="1"/>
  <c r="Y41" i="1"/>
  <c r="X41" i="1"/>
  <c r="V40" i="1"/>
  <c r="V39" i="1"/>
  <c r="V38" i="1"/>
  <c r="V37" i="1"/>
  <c r="V36" i="1"/>
  <c r="V35" i="1"/>
  <c r="X31" i="1"/>
  <c r="V33" i="1"/>
  <c r="V32" i="1"/>
  <c r="Y31" i="1"/>
  <c r="V30" i="1"/>
  <c r="V29" i="1"/>
  <c r="V28" i="1"/>
  <c r="V27" i="1"/>
  <c r="V26" i="1"/>
  <c r="V25" i="1"/>
  <c r="V24" i="1"/>
  <c r="V23" i="1"/>
  <c r="V22" i="1"/>
  <c r="V21" i="1"/>
  <c r="V20" i="1"/>
  <c r="V19" i="1"/>
  <c r="V18" i="1"/>
  <c r="Y17" i="1"/>
  <c r="W17" i="1"/>
  <c r="V16" i="1"/>
  <c r="V15" i="1"/>
  <c r="V14" i="1"/>
  <c r="V13" i="1"/>
  <c r="V12" i="1"/>
  <c r="V11" i="1"/>
  <c r="V10" i="1"/>
  <c r="V9" i="1"/>
  <c r="V8" i="1"/>
  <c r="V7" i="1"/>
  <c r="V6" i="1"/>
  <c r="V5" i="1"/>
  <c r="V4" i="1"/>
  <c r="Y3" i="1"/>
  <c r="W3" i="1"/>
  <c r="P168" i="1" l="1"/>
  <c r="P169" i="1"/>
  <c r="Q154" i="1" s="1"/>
  <c r="Q156" i="1" s="1"/>
  <c r="Q166" i="1" s="1"/>
  <c r="L168" i="1"/>
  <c r="L169" i="1"/>
  <c r="M154" i="1" s="1"/>
  <c r="M156" i="1" s="1"/>
  <c r="M166" i="1" s="1"/>
  <c r="V73" i="1"/>
  <c r="V117" i="1"/>
  <c r="V134" i="1"/>
  <c r="V142" i="1"/>
  <c r="V146" i="1"/>
  <c r="W47" i="1"/>
  <c r="V93" i="1"/>
  <c r="V69" i="1"/>
  <c r="V72" i="1"/>
  <c r="V48" i="1"/>
  <c r="V121" i="1"/>
  <c r="V81" i="1"/>
  <c r="V150" i="1"/>
  <c r="X3" i="1"/>
  <c r="V3" i="1" s="1"/>
  <c r="X17" i="1"/>
  <c r="V17" i="1" s="1"/>
  <c r="X96" i="1"/>
  <c r="V96" i="1" s="1"/>
  <c r="X47" i="1"/>
  <c r="L170" i="1" l="1"/>
  <c r="P170" i="1"/>
  <c r="L154" i="1"/>
  <c r="P154" i="1"/>
  <c r="V47" i="1"/>
  <c r="N154" i="1" l="1"/>
  <c r="P156" i="1"/>
  <c r="P166" i="1" s="1"/>
  <c r="N166" i="1" s="1"/>
  <c r="L156" i="1"/>
  <c r="L166" i="1" s="1"/>
  <c r="J166" i="1" s="1"/>
  <c r="J154" i="1"/>
  <c r="J156" i="1" l="1"/>
  <c r="N156" i="1"/>
  <c r="B2" i="14"/>
  <c r="D11" i="9" l="1"/>
  <c r="E11" i="9"/>
  <c r="C9" i="9"/>
  <c r="C7" i="9"/>
  <c r="C4" i="9" l="1"/>
  <c r="F8" i="9"/>
  <c r="C8" i="9" s="1"/>
  <c r="F5" i="9"/>
  <c r="C5" i="9" s="1"/>
  <c r="F6" i="9"/>
  <c r="C6" i="9" s="1"/>
  <c r="E53" i="14"/>
  <c r="F3" i="9" l="1"/>
  <c r="F11" i="9" s="1"/>
  <c r="A1" i="14"/>
  <c r="C3" i="9" l="1"/>
  <c r="C11" i="9" s="1"/>
  <c r="C70" i="13"/>
  <c r="D70" i="13"/>
  <c r="E70" i="13"/>
  <c r="F70" i="13"/>
  <c r="B70" i="13"/>
  <c r="C69" i="13"/>
  <c r="D69" i="13"/>
  <c r="E69" i="13"/>
  <c r="F69" i="13"/>
  <c r="B69" i="13"/>
  <c r="B67" i="13"/>
  <c r="C67" i="13"/>
  <c r="D67" i="13"/>
  <c r="E67" i="13"/>
  <c r="F67" i="13"/>
  <c r="C62" i="13"/>
  <c r="D62" i="13"/>
  <c r="E62" i="13"/>
  <c r="F62" i="13"/>
  <c r="C63" i="13"/>
  <c r="D63" i="13"/>
  <c r="E63" i="13"/>
  <c r="F63" i="13"/>
  <c r="C64" i="13"/>
  <c r="D64" i="13"/>
  <c r="E64" i="13"/>
  <c r="F64" i="13"/>
  <c r="C65" i="13"/>
  <c r="D65" i="13"/>
  <c r="E65" i="13"/>
  <c r="F65" i="13"/>
  <c r="C66" i="13"/>
  <c r="D66" i="13"/>
  <c r="E66" i="13"/>
  <c r="F66" i="13"/>
  <c r="B63" i="13"/>
  <c r="B64" i="13"/>
  <c r="B65" i="13"/>
  <c r="B66" i="13"/>
  <c r="B62" i="13"/>
  <c r="D37" i="13" l="1"/>
  <c r="D36" i="13"/>
  <c r="D35" i="13"/>
  <c r="D34" i="13"/>
  <c r="D33" i="13"/>
  <c r="D32" i="13"/>
  <c r="D31" i="13"/>
  <c r="D30" i="13"/>
  <c r="D25" i="13"/>
  <c r="D38" i="13" l="1"/>
  <c r="W34" i="1" s="1"/>
  <c r="V44" i="1" l="1"/>
  <c r="V34" i="1"/>
  <c r="W31" i="1"/>
  <c r="V31" i="1" s="1"/>
  <c r="D24" i="13"/>
  <c r="D12" i="8"/>
  <c r="D10" i="8"/>
  <c r="D22" i="13"/>
  <c r="D20" i="13" l="1"/>
  <c r="D19" i="13"/>
  <c r="D21" i="13" s="1"/>
  <c r="D15" i="13"/>
  <c r="D14" i="13"/>
  <c r="D10" i="13"/>
  <c r="D9" i="13"/>
  <c r="D3" i="13"/>
  <c r="D4" i="13"/>
  <c r="D5" i="13"/>
  <c r="V42" i="1" l="1"/>
  <c r="V43" i="1"/>
  <c r="D6" i="13"/>
  <c r="D11" i="13"/>
  <c r="D16" i="13"/>
  <c r="D10" i="6"/>
  <c r="D11" i="6"/>
  <c r="C10" i="6"/>
  <c r="C11" i="6"/>
  <c r="B11" i="6"/>
  <c r="B10" i="6"/>
  <c r="D19" i="6"/>
  <c r="C19" i="6"/>
  <c r="B19" i="6"/>
  <c r="B18" i="6"/>
  <c r="C18" i="6"/>
  <c r="D18" i="6"/>
  <c r="W41" i="1" l="1"/>
  <c r="C20" i="6"/>
  <c r="D20" i="6"/>
  <c r="B20" i="6"/>
  <c r="D8" i="8"/>
  <c r="E8" i="8"/>
  <c r="F8" i="8"/>
  <c r="C4" i="8"/>
  <c r="C8" i="8" s="1"/>
  <c r="V41" i="1" l="1"/>
  <c r="W156" i="1"/>
  <c r="E10" i="6"/>
  <c r="E20" i="6"/>
  <c r="E19" i="6"/>
  <c r="E18" i="6"/>
  <c r="E11" i="6"/>
  <c r="X169" i="1" l="1"/>
  <c r="Y154" i="1" s="1"/>
  <c r="Y156" i="1" s="1"/>
  <c r="Y166" i="1" s="1"/>
  <c r="X168" i="1"/>
  <c r="D14" i="8"/>
  <c r="D15" i="8" s="1"/>
  <c r="X170" i="1" l="1"/>
  <c r="X154" i="1"/>
  <c r="C116" i="3"/>
  <c r="B114" i="3"/>
  <c r="V154" i="1" l="1"/>
  <c r="X156" i="1"/>
  <c r="X166" i="1" s="1"/>
  <c r="V166" i="1" s="1"/>
  <c r="I4" i="6"/>
  <c r="I3" i="6"/>
  <c r="C5" i="6"/>
  <c r="D5" i="6"/>
  <c r="B5" i="6"/>
  <c r="C25" i="5"/>
  <c r="G8" i="5"/>
  <c r="H8" i="5"/>
  <c r="D22" i="5"/>
  <c r="B25" i="5" s="1"/>
  <c r="F8" i="5"/>
  <c r="E8" i="5"/>
  <c r="AD152" i="3"/>
  <c r="AD151" i="3"/>
  <c r="AD150" i="3"/>
  <c r="V156" i="1" l="1"/>
  <c r="F3" i="6"/>
  <c r="C12" i="6"/>
  <c r="G3" i="6"/>
  <c r="D12" i="6"/>
  <c r="E4" i="6"/>
  <c r="B12" i="6"/>
  <c r="I5" i="6"/>
  <c r="J5" i="6" s="1"/>
  <c r="E3" i="6"/>
  <c r="E5" i="6"/>
  <c r="G5" i="6"/>
  <c r="F5" i="6"/>
  <c r="G4" i="6"/>
  <c r="F4" i="6"/>
  <c r="AE152" i="3"/>
  <c r="AD153" i="3"/>
  <c r="AE151" i="3" s="1"/>
  <c r="AE153" i="3"/>
  <c r="AE150" i="3"/>
  <c r="L165" i="3"/>
  <c r="L166" i="3" s="1"/>
  <c r="U162" i="3"/>
  <c r="V161" i="3" s="1"/>
  <c r="L162" i="3"/>
  <c r="V160" i="3"/>
  <c r="V159" i="3"/>
  <c r="V158" i="3"/>
  <c r="V157" i="3"/>
  <c r="W152" i="3"/>
  <c r="W151" i="3"/>
  <c r="W150" i="3"/>
  <c r="W145" i="3"/>
  <c r="W144" i="3"/>
  <c r="W146" i="3" s="1"/>
  <c r="J116" i="3" s="1"/>
  <c r="J125" i="3" s="1"/>
  <c r="W143" i="3"/>
  <c r="W139" i="3"/>
  <c r="B116" i="3" s="1"/>
  <c r="W138" i="3"/>
  <c r="W137" i="3"/>
  <c r="U137" i="3"/>
  <c r="W136" i="3"/>
  <c r="U136" i="3"/>
  <c r="U131" i="3"/>
  <c r="L131" i="3"/>
  <c r="D131" i="3"/>
  <c r="B131" i="3" s="1"/>
  <c r="Z125" i="3"/>
  <c r="X125" i="3"/>
  <c r="V125" i="3"/>
  <c r="T125" i="3"/>
  <c r="Q125" i="3"/>
  <c r="O125" i="3"/>
  <c r="M125" i="3"/>
  <c r="E125" i="3"/>
  <c r="C125" i="3"/>
  <c r="U122" i="3"/>
  <c r="L122" i="3"/>
  <c r="D122" i="3"/>
  <c r="B122" i="3" s="1"/>
  <c r="Y121" i="3"/>
  <c r="U121" i="3" s="1"/>
  <c r="S121" i="3" s="1"/>
  <c r="S118" i="3" s="1"/>
  <c r="L121" i="3"/>
  <c r="J121" i="3"/>
  <c r="J118" i="3" s="1"/>
  <c r="D121" i="3"/>
  <c r="B121" i="3"/>
  <c r="U120" i="3"/>
  <c r="L120" i="3"/>
  <c r="L118" i="3" s="1"/>
  <c r="D120" i="3"/>
  <c r="B120" i="3"/>
  <c r="B118" i="3" s="1"/>
  <c r="U119" i="3"/>
  <c r="L119" i="3"/>
  <c r="D119" i="3"/>
  <c r="B119" i="3"/>
  <c r="Z118" i="3"/>
  <c r="X118" i="3"/>
  <c r="W118" i="3"/>
  <c r="W125" i="3" s="1"/>
  <c r="V118" i="3"/>
  <c r="T118" i="3"/>
  <c r="Q118" i="3"/>
  <c r="P118" i="3"/>
  <c r="P125" i="3" s="1"/>
  <c r="O118" i="3"/>
  <c r="N118" i="3"/>
  <c r="N125" i="3" s="1"/>
  <c r="M118" i="3"/>
  <c r="K118" i="3"/>
  <c r="I118" i="3"/>
  <c r="I125" i="3" s="1"/>
  <c r="H118" i="3"/>
  <c r="H125" i="3" s="1"/>
  <c r="G118" i="3"/>
  <c r="G125" i="3" s="1"/>
  <c r="F118" i="3"/>
  <c r="F125" i="3" s="1"/>
  <c r="E118" i="3"/>
  <c r="D118" i="3"/>
  <c r="C118" i="3"/>
  <c r="U116" i="3"/>
  <c r="L116" i="3"/>
  <c r="D116" i="3"/>
  <c r="U112" i="3"/>
  <c r="L112" i="3"/>
  <c r="D112" i="3"/>
  <c r="B112" i="3"/>
  <c r="J112" i="3" s="1"/>
  <c r="S112" i="3" s="1"/>
  <c r="T111" i="3"/>
  <c r="U110" i="3"/>
  <c r="U109" i="3" s="1"/>
  <c r="L110" i="3"/>
  <c r="L109" i="3" s="1"/>
  <c r="D110" i="3"/>
  <c r="D109" i="3" s="1"/>
  <c r="Z109" i="3"/>
  <c r="Y109" i="3"/>
  <c r="X109" i="3"/>
  <c r="W109" i="3"/>
  <c r="V109" i="3"/>
  <c r="Q109" i="3"/>
  <c r="P109" i="3"/>
  <c r="O109" i="3"/>
  <c r="N109" i="3"/>
  <c r="M109" i="3"/>
  <c r="I109" i="3"/>
  <c r="H109" i="3"/>
  <c r="G109" i="3"/>
  <c r="F109" i="3"/>
  <c r="E109" i="3"/>
  <c r="C109" i="3"/>
  <c r="U108" i="3"/>
  <c r="S108" i="3" s="1"/>
  <c r="L108" i="3"/>
  <c r="D108" i="3"/>
  <c r="B108" i="3"/>
  <c r="J108" i="3" s="1"/>
  <c r="U107" i="3"/>
  <c r="L107" i="3"/>
  <c r="J107" i="3"/>
  <c r="S107" i="3" s="1"/>
  <c r="D107" i="3"/>
  <c r="B107" i="3"/>
  <c r="J106" i="3"/>
  <c r="D106" i="3"/>
  <c r="B106" i="3"/>
  <c r="P106" i="3" s="1"/>
  <c r="P105" i="3" s="1"/>
  <c r="Y105" i="3"/>
  <c r="I105" i="3"/>
  <c r="H105" i="3"/>
  <c r="G105" i="3"/>
  <c r="F105" i="3"/>
  <c r="E105" i="3"/>
  <c r="D105" i="3"/>
  <c r="C105" i="3"/>
  <c r="U104" i="3"/>
  <c r="L104" i="3"/>
  <c r="J104" i="3"/>
  <c r="S104" i="3" s="1"/>
  <c r="D104" i="3"/>
  <c r="B104" i="3"/>
  <c r="U103" i="3"/>
  <c r="L103" i="3"/>
  <c r="L101" i="3" s="1"/>
  <c r="D103" i="3"/>
  <c r="B103" i="3"/>
  <c r="J103" i="3" s="1"/>
  <c r="S103" i="3" s="1"/>
  <c r="U102" i="3"/>
  <c r="L102" i="3"/>
  <c r="D102" i="3"/>
  <c r="D101" i="3" s="1"/>
  <c r="Z101" i="3"/>
  <c r="Y101" i="3"/>
  <c r="X101" i="3"/>
  <c r="W101" i="3"/>
  <c r="V101" i="3"/>
  <c r="U101" i="3"/>
  <c r="T101" i="3"/>
  <c r="Q101" i="3"/>
  <c r="P101" i="3"/>
  <c r="O101" i="3"/>
  <c r="N101" i="3"/>
  <c r="M101" i="3"/>
  <c r="K101" i="3"/>
  <c r="I101" i="3"/>
  <c r="H101" i="3"/>
  <c r="G101" i="3"/>
  <c r="F101" i="3"/>
  <c r="E101" i="3"/>
  <c r="C101" i="3"/>
  <c r="U100" i="3"/>
  <c r="U99" i="3" s="1"/>
  <c r="S100" i="3"/>
  <c r="S99" i="3" s="1"/>
  <c r="L100" i="3"/>
  <c r="L99" i="3" s="1"/>
  <c r="D100" i="3"/>
  <c r="D99" i="3" s="1"/>
  <c r="Z99" i="3"/>
  <c r="Y99" i="3"/>
  <c r="X99" i="3"/>
  <c r="W99" i="3"/>
  <c r="V99" i="3"/>
  <c r="T99" i="3"/>
  <c r="Q99" i="3"/>
  <c r="P99" i="3"/>
  <c r="O99" i="3"/>
  <c r="N99" i="3"/>
  <c r="M99" i="3"/>
  <c r="I99" i="3"/>
  <c r="H99" i="3"/>
  <c r="G99" i="3"/>
  <c r="F99" i="3"/>
  <c r="E99" i="3"/>
  <c r="C99" i="3"/>
  <c r="S98" i="3"/>
  <c r="U97" i="3"/>
  <c r="L97" i="3"/>
  <c r="D97" i="3"/>
  <c r="B97" i="3"/>
  <c r="U96" i="3"/>
  <c r="L96" i="3"/>
  <c r="D96" i="3"/>
  <c r="B96" i="3" s="1"/>
  <c r="U95" i="3"/>
  <c r="L95" i="3"/>
  <c r="D95" i="3"/>
  <c r="B95" i="3" s="1"/>
  <c r="I94" i="3"/>
  <c r="H94" i="3"/>
  <c r="G94" i="3"/>
  <c r="F94" i="3"/>
  <c r="E94" i="3"/>
  <c r="C94" i="3"/>
  <c r="U93" i="3"/>
  <c r="L93" i="3"/>
  <c r="K93" i="3"/>
  <c r="T93" i="3" s="1"/>
  <c r="D93" i="3"/>
  <c r="B93" i="3"/>
  <c r="J93" i="3" s="1"/>
  <c r="S93" i="3" s="1"/>
  <c r="U92" i="3"/>
  <c r="L92" i="3"/>
  <c r="D92" i="3"/>
  <c r="B92" i="3"/>
  <c r="J92" i="3" s="1"/>
  <c r="S92" i="3" s="1"/>
  <c r="U91" i="3"/>
  <c r="L91" i="3"/>
  <c r="D91" i="3"/>
  <c r="B91" i="3" s="1"/>
  <c r="U85" i="3"/>
  <c r="L85" i="3"/>
  <c r="D85" i="3"/>
  <c r="I84" i="3"/>
  <c r="H84" i="3"/>
  <c r="C84" i="3"/>
  <c r="S83" i="3"/>
  <c r="S82" i="3" s="1"/>
  <c r="K83" i="3"/>
  <c r="K82" i="3" s="1"/>
  <c r="B83" i="3"/>
  <c r="J83" i="3" s="1"/>
  <c r="Z82" i="3"/>
  <c r="Y82" i="3"/>
  <c r="X82" i="3"/>
  <c r="W82" i="3"/>
  <c r="V82" i="3"/>
  <c r="U82" i="3"/>
  <c r="Q82" i="3"/>
  <c r="P82" i="3"/>
  <c r="O82" i="3"/>
  <c r="N82" i="3"/>
  <c r="M82" i="3"/>
  <c r="L82" i="3"/>
  <c r="J82" i="3"/>
  <c r="I82" i="3"/>
  <c r="H82" i="3"/>
  <c r="G82" i="3"/>
  <c r="F82" i="3"/>
  <c r="E82" i="3"/>
  <c r="D82" i="3"/>
  <c r="C82" i="3"/>
  <c r="B82" i="3"/>
  <c r="U81" i="3"/>
  <c r="S81" i="3"/>
  <c r="L81" i="3"/>
  <c r="D81" i="3"/>
  <c r="B81" i="3" s="1"/>
  <c r="U80" i="3"/>
  <c r="S80" i="3"/>
  <c r="L80" i="3"/>
  <c r="J80" i="3"/>
  <c r="K80" i="3" s="1"/>
  <c r="T80" i="3" s="1"/>
  <c r="D80" i="3"/>
  <c r="B80" i="3" s="1"/>
  <c r="U79" i="3"/>
  <c r="S79" i="3" s="1"/>
  <c r="L79" i="3"/>
  <c r="D79" i="3"/>
  <c r="B79" i="3" s="1"/>
  <c r="U78" i="3"/>
  <c r="S78" i="3"/>
  <c r="L78" i="3"/>
  <c r="D78" i="3"/>
  <c r="B78" i="3" s="1"/>
  <c r="U77" i="3"/>
  <c r="L77" i="3"/>
  <c r="D77" i="3"/>
  <c r="B77" i="3" s="1"/>
  <c r="U76" i="3"/>
  <c r="L76" i="3"/>
  <c r="K76" i="3"/>
  <c r="D76" i="3"/>
  <c r="B76" i="3"/>
  <c r="J76" i="3" s="1"/>
  <c r="S76" i="3" s="1"/>
  <c r="U75" i="3"/>
  <c r="S75" i="3"/>
  <c r="L75" i="3"/>
  <c r="K75" i="3"/>
  <c r="T75" i="3" s="1"/>
  <c r="J75" i="3"/>
  <c r="D75" i="3"/>
  <c r="U74" i="3"/>
  <c r="L74" i="3"/>
  <c r="D74" i="3"/>
  <c r="B74" i="3" s="1"/>
  <c r="U73" i="3"/>
  <c r="S73" i="3" s="1"/>
  <c r="L73" i="3"/>
  <c r="J73" i="3"/>
  <c r="D73" i="3"/>
  <c r="B73" i="3"/>
  <c r="K73" i="3" s="1"/>
  <c r="U72" i="3"/>
  <c r="L72" i="3"/>
  <c r="D72" i="3"/>
  <c r="B72" i="3" s="1"/>
  <c r="U71" i="3"/>
  <c r="L71" i="3"/>
  <c r="J71" i="3"/>
  <c r="S71" i="3" s="1"/>
  <c r="D71" i="3"/>
  <c r="B71" i="3" s="1"/>
  <c r="K71" i="3" s="1"/>
  <c r="U70" i="3"/>
  <c r="S70" i="3" s="1"/>
  <c r="L70" i="3"/>
  <c r="L69" i="3" s="1"/>
  <c r="J70" i="3"/>
  <c r="D70" i="3"/>
  <c r="B70" i="3"/>
  <c r="K70" i="3" s="1"/>
  <c r="Z69" i="3"/>
  <c r="Y69" i="3"/>
  <c r="X69" i="3"/>
  <c r="W69" i="3"/>
  <c r="V69" i="3"/>
  <c r="Q69" i="3"/>
  <c r="P69" i="3"/>
  <c r="O69" i="3"/>
  <c r="N69" i="3"/>
  <c r="M69" i="3"/>
  <c r="I69" i="3"/>
  <c r="H69" i="3"/>
  <c r="G69" i="3"/>
  <c r="F69" i="3"/>
  <c r="E69" i="3"/>
  <c r="C69" i="3"/>
  <c r="U68" i="3"/>
  <c r="L68" i="3"/>
  <c r="D68" i="3"/>
  <c r="B68" i="3" s="1"/>
  <c r="U67" i="3"/>
  <c r="L67" i="3"/>
  <c r="D67" i="3"/>
  <c r="B67" i="3"/>
  <c r="U66" i="3"/>
  <c r="L66" i="3"/>
  <c r="J66" i="3"/>
  <c r="S66" i="3" s="1"/>
  <c r="D66" i="3"/>
  <c r="B66" i="3"/>
  <c r="U65" i="3"/>
  <c r="L65" i="3"/>
  <c r="D65" i="3"/>
  <c r="B65" i="3"/>
  <c r="U64" i="3"/>
  <c r="L64" i="3"/>
  <c r="L59" i="3" s="1"/>
  <c r="D64" i="3"/>
  <c r="B64" i="3" s="1"/>
  <c r="U63" i="3"/>
  <c r="S63" i="3"/>
  <c r="L63" i="3"/>
  <c r="D63" i="3"/>
  <c r="B63" i="3" s="1"/>
  <c r="U62" i="3"/>
  <c r="L62" i="3"/>
  <c r="J62" i="3"/>
  <c r="S62" i="3" s="1"/>
  <c r="D62" i="3"/>
  <c r="B62" i="3"/>
  <c r="U61" i="3"/>
  <c r="L61" i="3"/>
  <c r="D61" i="3"/>
  <c r="B61" i="3"/>
  <c r="J61" i="3" s="1"/>
  <c r="S61" i="3" s="1"/>
  <c r="U60" i="3"/>
  <c r="U59" i="3" s="1"/>
  <c r="L60" i="3"/>
  <c r="D60" i="3"/>
  <c r="B60" i="3"/>
  <c r="Z59" i="3"/>
  <c r="Y59" i="3"/>
  <c r="X59" i="3"/>
  <c r="W59" i="3"/>
  <c r="V59" i="3"/>
  <c r="Q59" i="3"/>
  <c r="P59" i="3"/>
  <c r="O59" i="3"/>
  <c r="N59" i="3"/>
  <c r="M59" i="3"/>
  <c r="I59" i="3"/>
  <c r="H59" i="3"/>
  <c r="G59" i="3"/>
  <c r="F59" i="3"/>
  <c r="E59" i="3"/>
  <c r="C59" i="3"/>
  <c r="J58" i="3"/>
  <c r="K58" i="3" s="1"/>
  <c r="J57" i="3"/>
  <c r="S57" i="3" s="1"/>
  <c r="S56" i="3"/>
  <c r="L56" i="3"/>
  <c r="J56" i="3"/>
  <c r="D56" i="3"/>
  <c r="B56" i="3"/>
  <c r="Z55" i="3"/>
  <c r="Y55" i="3"/>
  <c r="X55" i="3"/>
  <c r="W55" i="3"/>
  <c r="D55" i="3"/>
  <c r="B55" i="3"/>
  <c r="K55" i="3" s="1"/>
  <c r="U54" i="3"/>
  <c r="T54" i="3"/>
  <c r="L54" i="3"/>
  <c r="K54" i="3"/>
  <c r="D54" i="3"/>
  <c r="B54" i="3" s="1"/>
  <c r="J54" i="3" s="1"/>
  <c r="U53" i="3"/>
  <c r="T53" i="3"/>
  <c r="S53" i="3"/>
  <c r="L53" i="3"/>
  <c r="K53" i="3"/>
  <c r="D53" i="3"/>
  <c r="B53" i="3" s="1"/>
  <c r="J53" i="3" s="1"/>
  <c r="U52" i="3"/>
  <c r="L52" i="3"/>
  <c r="D52" i="3"/>
  <c r="B52" i="3" s="1"/>
  <c r="J52" i="3" s="1"/>
  <c r="S52" i="3" s="1"/>
  <c r="D51" i="3"/>
  <c r="B51" i="3"/>
  <c r="D50" i="3"/>
  <c r="B50" i="3" s="1"/>
  <c r="D49" i="3"/>
  <c r="B49" i="3" s="1"/>
  <c r="U48" i="3"/>
  <c r="L48" i="3"/>
  <c r="J48" i="3"/>
  <c r="D48" i="3"/>
  <c r="B48" i="3"/>
  <c r="U47" i="3"/>
  <c r="L47" i="3"/>
  <c r="D47" i="3"/>
  <c r="C47" i="3"/>
  <c r="B47" i="3"/>
  <c r="J47" i="3" s="1"/>
  <c r="D46" i="3"/>
  <c r="B46" i="3" s="1"/>
  <c r="U45" i="3"/>
  <c r="L45" i="3"/>
  <c r="J45" i="3"/>
  <c r="T45" i="3" s="1"/>
  <c r="S45" i="3" s="1"/>
  <c r="D45" i="3"/>
  <c r="B45" i="3" s="1"/>
  <c r="K45" i="3" s="1"/>
  <c r="U44" i="3"/>
  <c r="L44" i="3"/>
  <c r="J44" i="3"/>
  <c r="D44" i="3"/>
  <c r="B44" i="3" s="1"/>
  <c r="I43" i="3"/>
  <c r="H43" i="3"/>
  <c r="G43" i="3"/>
  <c r="F43" i="3"/>
  <c r="E43" i="3"/>
  <c r="D43" i="3"/>
  <c r="C43" i="3"/>
  <c r="U42" i="3"/>
  <c r="L42" i="3"/>
  <c r="D42" i="3"/>
  <c r="B42" i="3" s="1"/>
  <c r="J42" i="3" s="1"/>
  <c r="S42" i="3" s="1"/>
  <c r="U41" i="3"/>
  <c r="L41" i="3"/>
  <c r="D41" i="3"/>
  <c r="B41" i="3" s="1"/>
  <c r="B38" i="3" s="1"/>
  <c r="U40" i="3"/>
  <c r="S40" i="3"/>
  <c r="L40" i="3"/>
  <c r="J40" i="3"/>
  <c r="K40" i="3" s="1"/>
  <c r="T40" i="3" s="1"/>
  <c r="D40" i="3"/>
  <c r="B40" i="3" s="1"/>
  <c r="V39" i="3"/>
  <c r="N39" i="3"/>
  <c r="W39" i="3" s="1"/>
  <c r="W38" i="3" s="1"/>
  <c r="M39" i="3"/>
  <c r="K39" i="3"/>
  <c r="T39" i="3" s="1"/>
  <c r="D39" i="3"/>
  <c r="B39" i="3"/>
  <c r="J39" i="3" s="1"/>
  <c r="S39" i="3" s="1"/>
  <c r="V38" i="3"/>
  <c r="N38" i="3"/>
  <c r="M38" i="3"/>
  <c r="I38" i="3"/>
  <c r="H38" i="3"/>
  <c r="G38" i="3"/>
  <c r="F38" i="3"/>
  <c r="E38" i="3"/>
  <c r="C38" i="3"/>
  <c r="U37" i="3"/>
  <c r="S37" i="3"/>
  <c r="L37" i="3"/>
  <c r="J37" i="3"/>
  <c r="D37" i="3"/>
  <c r="B37" i="3" s="1"/>
  <c r="U36" i="3"/>
  <c r="U32" i="3" s="1"/>
  <c r="S36" i="3"/>
  <c r="L36" i="3"/>
  <c r="J36" i="3"/>
  <c r="K36" i="3" s="1"/>
  <c r="T36" i="3" s="1"/>
  <c r="D36" i="3"/>
  <c r="B36" i="3" s="1"/>
  <c r="U35" i="3"/>
  <c r="T35" i="3"/>
  <c r="T32" i="3" s="1"/>
  <c r="L35" i="3"/>
  <c r="K35" i="3"/>
  <c r="D35" i="3"/>
  <c r="B35" i="3" s="1"/>
  <c r="J35" i="3" s="1"/>
  <c r="S35" i="3" s="1"/>
  <c r="U34" i="3"/>
  <c r="S34" i="3"/>
  <c r="L34" i="3"/>
  <c r="L32" i="3" s="1"/>
  <c r="D34" i="3"/>
  <c r="B34" i="3" s="1"/>
  <c r="U33" i="3"/>
  <c r="S33" i="3"/>
  <c r="L33" i="3"/>
  <c r="D33" i="3"/>
  <c r="B33" i="3"/>
  <c r="J33" i="3" s="1"/>
  <c r="Z32" i="3"/>
  <c r="Y32" i="3"/>
  <c r="X32" i="3"/>
  <c r="W32" i="3"/>
  <c r="V32" i="3"/>
  <c r="S32" i="3"/>
  <c r="Q32" i="3"/>
  <c r="P32" i="3"/>
  <c r="O32" i="3"/>
  <c r="N32" i="3"/>
  <c r="M32" i="3"/>
  <c r="I32" i="3"/>
  <c r="H32" i="3"/>
  <c r="G32" i="3"/>
  <c r="F32" i="3"/>
  <c r="E32" i="3"/>
  <c r="C32" i="3"/>
  <c r="U31" i="3"/>
  <c r="S31" i="3"/>
  <c r="L31" i="3"/>
  <c r="D31" i="3"/>
  <c r="B31" i="3"/>
  <c r="J31" i="3" s="1"/>
  <c r="U30" i="3"/>
  <c r="L30" i="3"/>
  <c r="D30" i="3"/>
  <c r="B30" i="3" s="1"/>
  <c r="J30" i="3" s="1"/>
  <c r="S30" i="3" s="1"/>
  <c r="D29" i="3"/>
  <c r="B29" i="3" s="1"/>
  <c r="U28" i="3"/>
  <c r="S28" i="3"/>
  <c r="T28" i="3" s="1"/>
  <c r="L28" i="3"/>
  <c r="K28" i="3"/>
  <c r="D28" i="3"/>
  <c r="B28" i="3" s="1"/>
  <c r="J28" i="3" s="1"/>
  <c r="I27" i="3"/>
  <c r="H27" i="3"/>
  <c r="G27" i="3"/>
  <c r="F27" i="3"/>
  <c r="E27" i="3"/>
  <c r="E21" i="3" s="1"/>
  <c r="U26" i="3"/>
  <c r="L26" i="3"/>
  <c r="D26" i="3"/>
  <c r="B26" i="3"/>
  <c r="D25" i="3"/>
  <c r="C25" i="3"/>
  <c r="B25" i="3"/>
  <c r="U24" i="3"/>
  <c r="L24" i="3"/>
  <c r="D24" i="3"/>
  <c r="B24" i="3"/>
  <c r="I23" i="3"/>
  <c r="H23" i="3"/>
  <c r="G23" i="3"/>
  <c r="F23" i="3"/>
  <c r="E23" i="3"/>
  <c r="C23" i="3"/>
  <c r="U22" i="3"/>
  <c r="L22" i="3"/>
  <c r="D22" i="3"/>
  <c r="B22" i="3"/>
  <c r="G21" i="3"/>
  <c r="F21" i="3"/>
  <c r="U20" i="3"/>
  <c r="S20" i="3"/>
  <c r="L20" i="3"/>
  <c r="J20" i="3"/>
  <c r="D20" i="3"/>
  <c r="B20" i="3" s="1"/>
  <c r="U19" i="3"/>
  <c r="S19" i="3"/>
  <c r="L19" i="3"/>
  <c r="D19" i="3"/>
  <c r="B19" i="3" s="1"/>
  <c r="J19" i="3" s="1"/>
  <c r="U18" i="3"/>
  <c r="S18" i="3"/>
  <c r="L18" i="3"/>
  <c r="D18" i="3"/>
  <c r="B18" i="3"/>
  <c r="J18" i="3" s="1"/>
  <c r="I17" i="3"/>
  <c r="H17" i="3"/>
  <c r="E17" i="3"/>
  <c r="D17" i="3"/>
  <c r="C17" i="3"/>
  <c r="B17" i="3"/>
  <c r="J17" i="3" s="1"/>
  <c r="S17" i="3" s="1"/>
  <c r="D11" i="3"/>
  <c r="B11" i="3"/>
  <c r="G10" i="3"/>
  <c r="D10" i="3"/>
  <c r="B10" i="3"/>
  <c r="W6" i="3"/>
  <c r="V6" i="3"/>
  <c r="T6" i="3"/>
  <c r="F6" i="3"/>
  <c r="E6" i="3"/>
  <c r="D6" i="3"/>
  <c r="B6" i="3" s="1"/>
  <c r="C6" i="3"/>
  <c r="I5" i="3"/>
  <c r="H5" i="3"/>
  <c r="G5" i="3"/>
  <c r="F5" i="3"/>
  <c r="E5" i="3"/>
  <c r="U4" i="3"/>
  <c r="L4" i="3"/>
  <c r="D4" i="3"/>
  <c r="D3" i="3" s="1"/>
  <c r="C4" i="3"/>
  <c r="C3" i="3" s="1"/>
  <c r="Z3" i="3"/>
  <c r="Y3" i="3"/>
  <c r="X3" i="3"/>
  <c r="W3" i="3"/>
  <c r="V3" i="3"/>
  <c r="U3" i="3"/>
  <c r="T3" i="3"/>
  <c r="S3" i="3"/>
  <c r="Q3" i="3"/>
  <c r="P3" i="3"/>
  <c r="O3" i="3"/>
  <c r="N3" i="3"/>
  <c r="M3" i="3"/>
  <c r="L3" i="3"/>
  <c r="K3" i="3"/>
  <c r="J3" i="3"/>
  <c r="I3" i="3"/>
  <c r="H3" i="3"/>
  <c r="G3" i="3"/>
  <c r="F3" i="3"/>
  <c r="E3" i="3"/>
  <c r="B3" i="3"/>
  <c r="J4" i="6" l="1"/>
  <c r="J3" i="6"/>
  <c r="E12" i="6"/>
  <c r="W153" i="3"/>
  <c r="S116" i="3" s="1"/>
  <c r="S125" i="3" s="1"/>
  <c r="K66" i="3"/>
  <c r="K62" i="3"/>
  <c r="Q6" i="3"/>
  <c r="P6" i="3"/>
  <c r="B5" i="3"/>
  <c r="J6" i="3"/>
  <c r="O10" i="3"/>
  <c r="X10" i="3" s="1"/>
  <c r="J32" i="3"/>
  <c r="Q25" i="3"/>
  <c r="Z25" i="3" s="1"/>
  <c r="M6" i="3"/>
  <c r="D21" i="3"/>
  <c r="K26" i="3"/>
  <c r="T26" i="3" s="1"/>
  <c r="M49" i="3"/>
  <c r="O49" i="3"/>
  <c r="X49" i="3" s="1"/>
  <c r="J49" i="3"/>
  <c r="Q49" i="3"/>
  <c r="Z49" i="3" s="1"/>
  <c r="P49" i="3"/>
  <c r="Y49" i="3" s="1"/>
  <c r="N49" i="3"/>
  <c r="W49" i="3" s="1"/>
  <c r="N17" i="3"/>
  <c r="W17" i="3" s="1"/>
  <c r="K42" i="3"/>
  <c r="T42" i="3" s="1"/>
  <c r="N6" i="3"/>
  <c r="J10" i="3"/>
  <c r="S10" i="3" s="1"/>
  <c r="J26" i="3"/>
  <c r="S26" i="3" s="1"/>
  <c r="D32" i="3"/>
  <c r="J105" i="3"/>
  <c r="K18" i="3"/>
  <c r="K33" i="3"/>
  <c r="K48" i="3"/>
  <c r="T48" i="3" s="1"/>
  <c r="N50" i="3"/>
  <c r="W50" i="3" s="1"/>
  <c r="J50" i="3"/>
  <c r="S50" i="3" s="1"/>
  <c r="Q50" i="3"/>
  <c r="Z50" i="3" s="1"/>
  <c r="K60" i="3"/>
  <c r="J60" i="3"/>
  <c r="B59" i="3"/>
  <c r="B125" i="3"/>
  <c r="K17" i="3"/>
  <c r="T17" i="3" s="1"/>
  <c r="C5" i="3"/>
  <c r="K49" i="3"/>
  <c r="T49" i="3" s="1"/>
  <c r="J78" i="3"/>
  <c r="K78" i="3"/>
  <c r="K95" i="3"/>
  <c r="T95" i="3" s="1"/>
  <c r="J95" i="3"/>
  <c r="S95" i="3" s="1"/>
  <c r="O17" i="3"/>
  <c r="X17" i="3" s="1"/>
  <c r="C21" i="3"/>
  <c r="J25" i="3"/>
  <c r="S25" i="3" s="1"/>
  <c r="J29" i="3"/>
  <c r="P29" i="3" s="1"/>
  <c r="Q29" i="3"/>
  <c r="M10" i="3"/>
  <c r="N11" i="3"/>
  <c r="W11" i="3" s="1"/>
  <c r="P17" i="3"/>
  <c r="Y17" i="3" s="1"/>
  <c r="J24" i="3"/>
  <c r="S24" i="3" s="1"/>
  <c r="B32" i="3"/>
  <c r="K44" i="3"/>
  <c r="Q46" i="3"/>
  <c r="P50" i="3"/>
  <c r="Y50" i="3" s="1"/>
  <c r="K64" i="3"/>
  <c r="T64" i="3" s="1"/>
  <c r="J64" i="3"/>
  <c r="S64" i="3" s="1"/>
  <c r="K68" i="3"/>
  <c r="T68" i="3" s="1"/>
  <c r="J68" i="3"/>
  <c r="T71" i="3"/>
  <c r="J96" i="3"/>
  <c r="S96" i="3" s="1"/>
  <c r="K6" i="3"/>
  <c r="M17" i="3"/>
  <c r="J22" i="3"/>
  <c r="K19" i="3"/>
  <c r="K25" i="3"/>
  <c r="T25" i="3" s="1"/>
  <c r="N10" i="3"/>
  <c r="W10" i="3" s="1"/>
  <c r="W5" i="3" s="1"/>
  <c r="Q17" i="3"/>
  <c r="Z17" i="3" s="1"/>
  <c r="H21" i="3"/>
  <c r="H114" i="3" s="1"/>
  <c r="J41" i="3"/>
  <c r="K41" i="3" s="1"/>
  <c r="T44" i="3"/>
  <c r="J51" i="3"/>
  <c r="S51" i="3" s="1"/>
  <c r="F114" i="3"/>
  <c r="K79" i="3"/>
  <c r="J79" i="3"/>
  <c r="K81" i="3"/>
  <c r="D5" i="3"/>
  <c r="J11" i="3"/>
  <c r="Q11" i="3" s="1"/>
  <c r="I21" i="3"/>
  <c r="I114" i="3" s="1"/>
  <c r="D27" i="3"/>
  <c r="B27" i="3" s="1"/>
  <c r="Y56" i="3"/>
  <c r="J77" i="3"/>
  <c r="S77" i="3" s="1"/>
  <c r="K77" i="3"/>
  <c r="T77" i="3" s="1"/>
  <c r="K34" i="3"/>
  <c r="J91" i="3"/>
  <c r="S91" i="3" s="1"/>
  <c r="K91" i="3"/>
  <c r="K10" i="3"/>
  <c r="T10" i="3" s="1"/>
  <c r="Q10" i="3"/>
  <c r="Z10" i="3" s="1"/>
  <c r="P10" i="3"/>
  <c r="Y10" i="3" s="1"/>
  <c r="M25" i="3"/>
  <c r="J34" i="3"/>
  <c r="J63" i="3"/>
  <c r="K63" i="3"/>
  <c r="K74" i="3"/>
  <c r="T74" i="3" s="1"/>
  <c r="J74" i="3"/>
  <c r="S74" i="3" s="1"/>
  <c r="S69" i="3" s="1"/>
  <c r="J85" i="3"/>
  <c r="K97" i="3"/>
  <c r="T97" i="3" s="1"/>
  <c r="D23" i="3"/>
  <c r="B23" i="3" s="1"/>
  <c r="O39" i="3"/>
  <c r="K47" i="3"/>
  <c r="T47" i="3" s="1"/>
  <c r="T56" i="3"/>
  <c r="B69" i="3"/>
  <c r="J81" i="3"/>
  <c r="E84" i="3"/>
  <c r="E114" i="3" s="1"/>
  <c r="S85" i="3"/>
  <c r="K107" i="3"/>
  <c r="T107" i="3" s="1"/>
  <c r="T105" i="3" s="1"/>
  <c r="B110" i="3"/>
  <c r="V162" i="3"/>
  <c r="K65" i="3"/>
  <c r="T65" i="3" s="1"/>
  <c r="G114" i="3"/>
  <c r="P39" i="3"/>
  <c r="J65" i="3"/>
  <c r="S65" i="3" s="1"/>
  <c r="G84" i="3"/>
  <c r="K92" i="3"/>
  <c r="T92" i="3" s="1"/>
  <c r="J97" i="3"/>
  <c r="S97" i="3" s="1"/>
  <c r="B102" i="3"/>
  <c r="N106" i="3"/>
  <c r="Q39" i="3"/>
  <c r="V56" i="3"/>
  <c r="D69" i="3"/>
  <c r="U69" i="3"/>
  <c r="O106" i="3"/>
  <c r="U118" i="3"/>
  <c r="U125" i="3" s="1"/>
  <c r="D38" i="3"/>
  <c r="J46" i="3"/>
  <c r="P46" i="3" s="1"/>
  <c r="W56" i="3"/>
  <c r="D59" i="3"/>
  <c r="B100" i="3"/>
  <c r="B105" i="3"/>
  <c r="J67" i="3"/>
  <c r="S67" i="3" s="1"/>
  <c r="T76" i="3"/>
  <c r="C114" i="3"/>
  <c r="M159" i="3"/>
  <c r="N55" i="3" s="1"/>
  <c r="X56" i="3"/>
  <c r="Z56" i="3"/>
  <c r="D94" i="3"/>
  <c r="B94" i="3" s="1"/>
  <c r="K106" i="3"/>
  <c r="Q106" i="3"/>
  <c r="M106" i="3"/>
  <c r="B43" i="3"/>
  <c r="K52" i="3"/>
  <c r="T52" i="3" s="1"/>
  <c r="K61" i="3"/>
  <c r="T61" i="3" s="1"/>
  <c r="T83" i="3"/>
  <c r="T82" i="3" s="1"/>
  <c r="B85" i="3"/>
  <c r="K108" i="3"/>
  <c r="Y118" i="3"/>
  <c r="Y125" i="3" s="1"/>
  <c r="M160" i="3"/>
  <c r="P55" i="3" s="1"/>
  <c r="M158" i="3"/>
  <c r="O55" i="3" s="1"/>
  <c r="V55" i="3"/>
  <c r="U55" i="3" s="1"/>
  <c r="S55" i="3" s="1"/>
  <c r="F84" i="3"/>
  <c r="M157" i="3"/>
  <c r="M161" i="3"/>
  <c r="Q55" i="3" s="1"/>
  <c r="K116" i="3" l="1"/>
  <c r="K125" i="3" s="1"/>
  <c r="J94" i="3"/>
  <c r="P94" i="3" s="1"/>
  <c r="J23" i="3"/>
  <c r="S23" i="3" s="1"/>
  <c r="K23" i="3"/>
  <c r="T23" i="3" s="1"/>
  <c r="B21" i="3"/>
  <c r="N23" i="3"/>
  <c r="Z11" i="3"/>
  <c r="T41" i="3"/>
  <c r="T38" i="3" s="1"/>
  <c r="K38" i="3"/>
  <c r="Y46" i="3"/>
  <c r="O105" i="3"/>
  <c r="X106" i="3"/>
  <c r="X105" i="3" s="1"/>
  <c r="J100" i="3"/>
  <c r="J99" i="3" s="1"/>
  <c r="B99" i="3"/>
  <c r="J102" i="3"/>
  <c r="B101" i="3"/>
  <c r="J43" i="3"/>
  <c r="K96" i="3"/>
  <c r="T96" i="3" s="1"/>
  <c r="O11" i="3"/>
  <c r="X11" i="3" s="1"/>
  <c r="K32" i="3"/>
  <c r="M105" i="3"/>
  <c r="V106" i="3"/>
  <c r="L106" i="3"/>
  <c r="L105" i="3" s="1"/>
  <c r="J69" i="3"/>
  <c r="K50" i="3"/>
  <c r="T50" i="3" s="1"/>
  <c r="T43" i="3" s="1"/>
  <c r="D84" i="3"/>
  <c r="D114" i="3" s="1"/>
  <c r="Z106" i="3"/>
  <c r="Z105" i="3" s="1"/>
  <c r="Q105" i="3"/>
  <c r="N25" i="3"/>
  <c r="W25" i="3" s="1"/>
  <c r="K69" i="3"/>
  <c r="N51" i="3"/>
  <c r="W51" i="3" s="1"/>
  <c r="S22" i="3"/>
  <c r="J21" i="3"/>
  <c r="T69" i="3"/>
  <c r="V10" i="3"/>
  <c r="L10" i="3"/>
  <c r="M50" i="3"/>
  <c r="P25" i="3"/>
  <c r="Y25" i="3" s="1"/>
  <c r="K24" i="3"/>
  <c r="T24" i="3" s="1"/>
  <c r="M5" i="3"/>
  <c r="J5" i="3"/>
  <c r="W106" i="3"/>
  <c r="W105" i="3" s="1"/>
  <c r="N105" i="3"/>
  <c r="M162" i="3"/>
  <c r="M55" i="3"/>
  <c r="L55" i="3" s="1"/>
  <c r="T91" i="3"/>
  <c r="M11" i="3"/>
  <c r="K11" i="3"/>
  <c r="P11" i="3"/>
  <c r="S11" i="3"/>
  <c r="K51" i="3"/>
  <c r="T51" i="3" s="1"/>
  <c r="S44" i="3"/>
  <c r="Z46" i="3"/>
  <c r="Z43" i="3" s="1"/>
  <c r="B84" i="3"/>
  <c r="U56" i="3"/>
  <c r="J110" i="3"/>
  <c r="K110" i="3" s="1"/>
  <c r="B109" i="3"/>
  <c r="M51" i="3"/>
  <c r="S41" i="3"/>
  <c r="S38" i="3" s="1"/>
  <c r="J38" i="3"/>
  <c r="K105" i="3"/>
  <c r="M46" i="3"/>
  <c r="K46" i="3"/>
  <c r="T46" i="3" s="1"/>
  <c r="O46" i="3"/>
  <c r="N46" i="3"/>
  <c r="O25" i="3"/>
  <c r="X25" i="3" s="1"/>
  <c r="O29" i="3"/>
  <c r="O51" i="3"/>
  <c r="X51" i="3" s="1"/>
  <c r="K22" i="3"/>
  <c r="M29" i="3"/>
  <c r="O50" i="3"/>
  <c r="X50" i="3" s="1"/>
  <c r="K29" i="3"/>
  <c r="T29" i="3" s="1"/>
  <c r="O6" i="3"/>
  <c r="L6" i="3" s="1"/>
  <c r="Y39" i="3"/>
  <c r="Y38" i="3" s="1"/>
  <c r="P38" i="3"/>
  <c r="V25" i="3"/>
  <c r="Q38" i="3"/>
  <c r="Z39" i="3"/>
  <c r="Z38" i="3" s="1"/>
  <c r="O38" i="3"/>
  <c r="X39" i="3"/>
  <c r="P51" i="3"/>
  <c r="Y51" i="3" s="1"/>
  <c r="L17" i="3"/>
  <c r="V17" i="3"/>
  <c r="U17" i="3" s="1"/>
  <c r="N5" i="3"/>
  <c r="S84" i="3"/>
  <c r="K67" i="3"/>
  <c r="T67" i="3" s="1"/>
  <c r="J27" i="3"/>
  <c r="O27" i="3"/>
  <c r="K27" i="3"/>
  <c r="Q51" i="3"/>
  <c r="Z51" i="3" s="1"/>
  <c r="K5" i="3"/>
  <c r="S60" i="3"/>
  <c r="S59" i="3" s="1"/>
  <c r="J59" i="3"/>
  <c r="V49" i="3"/>
  <c r="U49" i="3" s="1"/>
  <c r="L49" i="3"/>
  <c r="P5" i="3"/>
  <c r="Y6" i="3"/>
  <c r="L39" i="3"/>
  <c r="L38" i="3" s="1"/>
  <c r="Q5" i="3"/>
  <c r="Z6" i="3"/>
  <c r="S29" i="3"/>
  <c r="N29" i="3"/>
  <c r="W29" i="3" s="1"/>
  <c r="K59" i="3"/>
  <c r="T60" i="3"/>
  <c r="T59" i="3" s="1"/>
  <c r="Y29" i="3" l="1"/>
  <c r="Z29" i="3"/>
  <c r="T110" i="3"/>
  <c r="T109" i="3" s="1"/>
  <c r="K109" i="3"/>
  <c r="Y94" i="3"/>
  <c r="Y84" i="3" s="1"/>
  <c r="P84" i="3"/>
  <c r="Y5" i="3"/>
  <c r="W46" i="3"/>
  <c r="W43" i="3" s="1"/>
  <c r="N43" i="3"/>
  <c r="Q94" i="3"/>
  <c r="S27" i="3"/>
  <c r="S21" i="3" s="1"/>
  <c r="M27" i="3"/>
  <c r="Q27" i="3"/>
  <c r="P27" i="3"/>
  <c r="N27" i="3"/>
  <c r="O43" i="3"/>
  <c r="X46" i="3"/>
  <c r="X43" i="3" s="1"/>
  <c r="B127" i="3"/>
  <c r="K43" i="3"/>
  <c r="M23" i="3"/>
  <c r="O94" i="3"/>
  <c r="L51" i="3"/>
  <c r="V51" i="3"/>
  <c r="U51" i="3" s="1"/>
  <c r="X6" i="3"/>
  <c r="O5" i="3"/>
  <c r="J84" i="3"/>
  <c r="L29" i="3"/>
  <c r="V29" i="3"/>
  <c r="S110" i="3"/>
  <c r="S109" i="3" s="1"/>
  <c r="J109" i="3"/>
  <c r="Y43" i="3"/>
  <c r="N94" i="3"/>
  <c r="Z5" i="3"/>
  <c r="T22" i="3"/>
  <c r="K21" i="3"/>
  <c r="Y11" i="3"/>
  <c r="S102" i="3"/>
  <c r="S101" i="3" s="1"/>
  <c r="J101" i="3"/>
  <c r="P43" i="3"/>
  <c r="Q23" i="3"/>
  <c r="U25" i="3"/>
  <c r="T11" i="3"/>
  <c r="T5" i="3" s="1"/>
  <c r="K100" i="3"/>
  <c r="K99" i="3" s="1"/>
  <c r="P23" i="3"/>
  <c r="M94" i="3"/>
  <c r="X38" i="3"/>
  <c r="U39" i="3"/>
  <c r="U38" i="3" s="1"/>
  <c r="L46" i="3"/>
  <c r="L43" i="3" s="1"/>
  <c r="V46" i="3"/>
  <c r="M43" i="3"/>
  <c r="W23" i="3"/>
  <c r="L25" i="3"/>
  <c r="L50" i="3"/>
  <c r="V50" i="3"/>
  <c r="U50" i="3" s="1"/>
  <c r="U106" i="3"/>
  <c r="V105" i="3"/>
  <c r="K94" i="3"/>
  <c r="X29" i="3"/>
  <c r="Q43" i="3"/>
  <c r="V11" i="3"/>
  <c r="U11" i="3" s="1"/>
  <c r="L11" i="3"/>
  <c r="L5" i="3" s="1"/>
  <c r="U10" i="3"/>
  <c r="O23" i="3"/>
  <c r="Z94" i="3" l="1"/>
  <c r="Z84" i="3" s="1"/>
  <c r="Q84" i="3"/>
  <c r="V23" i="3"/>
  <c r="M21" i="3"/>
  <c r="L23" i="3"/>
  <c r="Q21" i="3"/>
  <c r="Q114" i="3" s="1"/>
  <c r="Z23" i="3"/>
  <c r="Z21" i="3" s="1"/>
  <c r="N84" i="3"/>
  <c r="W94" i="3"/>
  <c r="W84" i="3" s="1"/>
  <c r="S106" i="3"/>
  <c r="S105" i="3" s="1"/>
  <c r="U105" i="3"/>
  <c r="X5" i="3"/>
  <c r="U6" i="3"/>
  <c r="W27" i="3"/>
  <c r="W21" i="3" s="1"/>
  <c r="N21" i="3"/>
  <c r="N114" i="3" s="1"/>
  <c r="Y27" i="3"/>
  <c r="V94" i="3"/>
  <c r="L94" i="3"/>
  <c r="L84" i="3" s="1"/>
  <c r="M84" i="3"/>
  <c r="Z27" i="3"/>
  <c r="U46" i="3"/>
  <c r="V43" i="3"/>
  <c r="X94" i="3"/>
  <c r="X84" i="3" s="1"/>
  <c r="O84" i="3"/>
  <c r="T27" i="3"/>
  <c r="T21" i="3" s="1"/>
  <c r="J114" i="3"/>
  <c r="J127" i="3" s="1"/>
  <c r="X27" i="3"/>
  <c r="X23" i="3"/>
  <c r="X21" i="3" s="1"/>
  <c r="O21" i="3"/>
  <c r="O114" i="3" s="1"/>
  <c r="V5" i="3"/>
  <c r="T94" i="3"/>
  <c r="T84" i="3" s="1"/>
  <c r="K84" i="3"/>
  <c r="K114" i="3" s="1"/>
  <c r="K127" i="3" s="1"/>
  <c r="Y23" i="3"/>
  <c r="Y21" i="3" s="1"/>
  <c r="Y114" i="3" s="1"/>
  <c r="P21" i="3"/>
  <c r="P114" i="3" s="1"/>
  <c r="U29" i="3"/>
  <c r="L27" i="3"/>
  <c r="V27" i="3"/>
  <c r="T114" i="3" l="1"/>
  <c r="W114" i="3"/>
  <c r="X114" i="3"/>
  <c r="Z114" i="3"/>
  <c r="U43" i="3"/>
  <c r="S46" i="3"/>
  <c r="S43" i="3" s="1"/>
  <c r="L21" i="3"/>
  <c r="L114" i="3" s="1"/>
  <c r="M114" i="3"/>
  <c r="V84" i="3"/>
  <c r="U94" i="3"/>
  <c r="U84" i="3" s="1"/>
  <c r="V21" i="3"/>
  <c r="U23" i="3"/>
  <c r="U21" i="3" s="1"/>
  <c r="S6" i="3"/>
  <c r="S5" i="3" s="1"/>
  <c r="S114" i="3" s="1"/>
  <c r="S127" i="3" s="1"/>
  <c r="U5" i="3"/>
  <c r="U27" i="3"/>
  <c r="V114" i="3" l="1"/>
  <c r="U1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tc={1D8F9FA7-C017-4F6D-A54C-1B5CFF4526E7}</author>
    <author>tc={620F05B4-B216-4B26-B80F-493E7EC1C23B}</author>
    <author>tc={8281B9DE-2940-41C9-B7B2-AFBB47DFC87C}</author>
    <author>tc={D8C27461-BA01-48D0-8254-49B71EEB88E4}</author>
    <author>tc={5ED62990-0C29-4013-B2B7-41C48540B7B0}</author>
    <author>tc={B77FD2F5-CAE3-4507-8A79-1F26A1DBD104}</author>
  </authors>
  <commentList>
    <comment ref="AJ11" authorId="0" shapeId="0" xr:uid="{1D8F9FA7-C017-4F6D-A54C-1B5CFF4526E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 entretien moililier - Location DEA + entretien voiture</t>
      </text>
    </comment>
    <comment ref="AJ44" authorId="1" shapeId="0" xr:uid="{620F05B4-B216-4B26-B80F-493E7EC1C23B}">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 assurances - auto + assurances - autres (divers)
</t>
      </text>
    </comment>
    <comment ref="AJ67" authorId="2" shapeId="0" xr:uid="{8281B9DE-2940-41C9-B7B2-AFBB47DFC87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Frais mandataires - journée mandataires</t>
      </text>
    </comment>
    <comment ref="AJ70" authorId="3" shapeId="0" xr:uid="{D8C27461-BA01-48D0-8254-49B71EEB88E4}">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Vorig jaar werd dit niet opgenomen in begroting?
</t>
      </text>
    </comment>
    <comment ref="AF119" authorId="4" shapeId="0" xr:uid="{5ED62990-0C29-4013-B2B7-41C48540B7B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Corr. Op ingediende budget van 2023 = overige lidgelden ipv lidgeld ACE (profession libérale.be UCM)</t>
      </text>
    </comment>
    <comment ref="AJ149" authorId="5" shapeId="0" xr:uid="{B77FD2F5-CAE3-4507-8A79-1F26A1DBD10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 taxe circulation voiture + taxes provinciales, communales et régionales</t>
      </text>
    </comment>
  </commentList>
</comments>
</file>

<file path=xl/sharedStrings.xml><?xml version="1.0" encoding="utf-8"?>
<sst xmlns="http://schemas.openxmlformats.org/spreadsheetml/2006/main" count="2801" uniqueCount="1053">
  <si>
    <t>Indemnités groupe travail</t>
  </si>
  <si>
    <t>Rémunérations et charges soc.</t>
  </si>
  <si>
    <t>Bezoldigingen en sociale lasten</t>
  </si>
  <si>
    <t>Frais personnel - restaurants</t>
  </si>
  <si>
    <t>Frais personnel - boissons et sandwiches</t>
  </si>
  <si>
    <t>Frais personnel - déplacements</t>
  </si>
  <si>
    <t>Personeelskosten - verplaatsingen</t>
  </si>
  <si>
    <t>Frais personnel - événements (cadeaux)</t>
  </si>
  <si>
    <t>Frais personnel - autres</t>
  </si>
  <si>
    <t>Journée personnel</t>
  </si>
  <si>
    <t>Assurance - accident du travail</t>
  </si>
  <si>
    <t>Wetsverzekering</t>
  </si>
  <si>
    <t>Formation personnel</t>
  </si>
  <si>
    <t>Opleiding Personeel</t>
  </si>
  <si>
    <t>Personnel intérimaire</t>
  </si>
  <si>
    <t>FRAIS PERSONNEL</t>
  </si>
  <si>
    <t>PERSONEELSKOSTEN</t>
  </si>
  <si>
    <t>INVESTISSEMENTS</t>
  </si>
  <si>
    <t>INVESTERINGEN</t>
  </si>
  <si>
    <t>Bâtiments</t>
  </si>
  <si>
    <t>Gebouwen</t>
  </si>
  <si>
    <t>Aménagements des locaux</t>
  </si>
  <si>
    <t>Machines de bureau</t>
  </si>
  <si>
    <t>Matériel informatique</t>
  </si>
  <si>
    <t>Informatica: hard en software</t>
  </si>
  <si>
    <t>Mobilier</t>
  </si>
  <si>
    <t>Meubilair</t>
  </si>
  <si>
    <t>Matériel roulant</t>
  </si>
  <si>
    <t>PROVISIONS</t>
  </si>
  <si>
    <t>PROVISIES</t>
  </si>
  <si>
    <t>Provision litige</t>
  </si>
  <si>
    <t>Provision COVID 2019</t>
  </si>
  <si>
    <t>TAXES ET IMPOTS</t>
  </si>
  <si>
    <t>BELASTINGEN</t>
  </si>
  <si>
    <t>Précompte immobilier</t>
  </si>
  <si>
    <t>Reprobel</t>
  </si>
  <si>
    <t>Taxes provinciales &amp; communales</t>
  </si>
  <si>
    <t>Provinciale &amp; gemeentebelastingen</t>
  </si>
  <si>
    <t>Charges financières</t>
  </si>
  <si>
    <t>Intérêts négatifs</t>
  </si>
  <si>
    <t>Précompte mobilier s/intérêts</t>
  </si>
  <si>
    <t>CNOA dotation</t>
  </si>
  <si>
    <t>TOTAL FRAIS</t>
  </si>
  <si>
    <t>BUDGET 2021</t>
  </si>
  <si>
    <t>BUDGET 2022</t>
  </si>
  <si>
    <t>BUDGET GLOBAL</t>
  </si>
  <si>
    <t>BATIMENTS</t>
  </si>
  <si>
    <t>GEBOUWEN</t>
  </si>
  <si>
    <t>Loyers et charges locatives  batiments</t>
  </si>
  <si>
    <t>Huur en huurkosten gebouwen</t>
  </si>
  <si>
    <t>Huur en huurkosten overige (parking)</t>
  </si>
  <si>
    <t>Charges de copropriété batiment</t>
  </si>
  <si>
    <t>Charges de copropriété autre (parking)</t>
  </si>
  <si>
    <t>Location mobilier (ICT)</t>
  </si>
  <si>
    <t>Location mat roul (voiture de société)</t>
  </si>
  <si>
    <t>Entretien immobilier</t>
  </si>
  <si>
    <t>Entretien mobilier</t>
  </si>
  <si>
    <t>Réparations mobilier</t>
  </si>
  <si>
    <t>Frais de libération des lieux</t>
  </si>
  <si>
    <t>Énergie et eau (si pas dans loyers et charges)</t>
  </si>
  <si>
    <t>Energie en water</t>
  </si>
  <si>
    <t>Frais déménagement</t>
  </si>
  <si>
    <t>FOURNITURES</t>
  </si>
  <si>
    <t>BENODIGDHEDEN</t>
  </si>
  <si>
    <t>Téléphone, fax, Gsm</t>
  </si>
  <si>
    <t>Telefoon/fax/GSM</t>
  </si>
  <si>
    <t>Frais de port</t>
  </si>
  <si>
    <t>Portkosten</t>
  </si>
  <si>
    <t>Fonctionnement internet et intranet</t>
  </si>
  <si>
    <t>Werking internet en intranet</t>
  </si>
  <si>
    <t>Documentation et abonnements</t>
  </si>
  <si>
    <t>Documentatie en abonnementen</t>
  </si>
  <si>
    <t>Kluwer - jura</t>
  </si>
  <si>
    <t>Matériel de bureau</t>
  </si>
  <si>
    <t>Bureaumateriaal</t>
  </si>
  <si>
    <t>Toner imprimante etc</t>
  </si>
  <si>
    <t>Toners printers etc.</t>
  </si>
  <si>
    <t>Papier, imprimés</t>
  </si>
  <si>
    <t>Papier/drukwerk</t>
  </si>
  <si>
    <t>Maintenance copieurs</t>
  </si>
  <si>
    <t>Cantine</t>
  </si>
  <si>
    <t>Kantine</t>
  </si>
  <si>
    <t>Fournitures diverses</t>
  </si>
  <si>
    <t>Carburants, taxe et entretien véhicule</t>
  </si>
  <si>
    <t>Frais des élections</t>
  </si>
  <si>
    <t>Kosten verkiezingen</t>
  </si>
  <si>
    <t>FRAIS IT</t>
  </si>
  <si>
    <t>Achat matériel informatique</t>
  </si>
  <si>
    <t>IT Software - matériel divers</t>
  </si>
  <si>
    <t>IT (BOB + webhosting)</t>
  </si>
  <si>
    <t>IT Consultancy / maintenance / backup data</t>
  </si>
  <si>
    <t>IT Consultancy</t>
  </si>
  <si>
    <t>Siteweb + Exchange</t>
  </si>
  <si>
    <t>Digitilisation archives</t>
  </si>
  <si>
    <t>Digitalisatie archieven</t>
  </si>
  <si>
    <t>Services divers</t>
  </si>
  <si>
    <t>ASSURANCES</t>
  </si>
  <si>
    <t>VERZEKERINGEN</t>
  </si>
  <si>
    <t>Assurances  - Incendie</t>
  </si>
  <si>
    <t>Brandverzekeringen</t>
  </si>
  <si>
    <t>Assurances  - Responsab. Civile</t>
  </si>
  <si>
    <t>Assurances  - Diverses + Auto</t>
  </si>
  <si>
    <t>Assurances - Mandataires + RC administrateurs</t>
  </si>
  <si>
    <t>FRAIS MANDATAIRES ‐ REUNION</t>
  </si>
  <si>
    <t>Indemn.prestations National</t>
  </si>
  <si>
    <t>Indemn.prestations Provincial NL</t>
  </si>
  <si>
    <t>Vergoeding prestaties Provinciaal NL</t>
  </si>
  <si>
    <t>Indemn.prestations Provincial FR</t>
  </si>
  <si>
    <t>Indemn.prestations VLRA</t>
  </si>
  <si>
    <t>Vergoeding prestaties VLRA</t>
  </si>
  <si>
    <t>Indemn.prestations CFgOA</t>
  </si>
  <si>
    <t>Indemn.prestations Conseil d'Appel NL</t>
  </si>
  <si>
    <t>Vergoeding prestaties Raad van Beroep NL</t>
  </si>
  <si>
    <t>Indemn.prestations Conseil d'Appel FR</t>
  </si>
  <si>
    <t>Indemn.transport National</t>
  </si>
  <si>
    <t>Indemn.transport Provincial NL</t>
  </si>
  <si>
    <t>Vergoeding transport Provinciaal NL</t>
  </si>
  <si>
    <t>Indemn.transport Provincial FR</t>
  </si>
  <si>
    <t>Indemn.transport VLRA</t>
  </si>
  <si>
    <t>Vergoeding transport VLRA</t>
  </si>
  <si>
    <t>Indemn.transport CFgOA</t>
  </si>
  <si>
    <t>Indemn.transport Conseil d'Appel NL</t>
  </si>
  <si>
    <t>Indemn.transport Conseil d'Appel FR</t>
  </si>
  <si>
    <t>Frais mandataires - restaurants</t>
  </si>
  <si>
    <t>Frais mandataires - boissons et sandwiches</t>
  </si>
  <si>
    <t>Mandatariskosten - dranken &amp; sandwiches</t>
  </si>
  <si>
    <t>Frais mandataires - événements (cadeaux/fleurs)</t>
  </si>
  <si>
    <t>Frais mandataires - autres</t>
  </si>
  <si>
    <t>Formations mandataires</t>
  </si>
  <si>
    <t>Opleiding/event mandatarissen</t>
  </si>
  <si>
    <t>Frais divers (Conseil+CFGOA)</t>
  </si>
  <si>
    <t>Frais interprétariat</t>
  </si>
  <si>
    <t>Mandatariskosten - Evenementen/Prov. Acties</t>
  </si>
  <si>
    <t>Chambres propfessionnelles</t>
  </si>
  <si>
    <t>COMMISSIONS ET GROUPE DE TRAVAIL</t>
  </si>
  <si>
    <t>Frais relations internationales</t>
  </si>
  <si>
    <t>Indemnités Chambre Bruxelloise</t>
  </si>
  <si>
    <t>Déplacement Chambre Bruxelloise</t>
  </si>
  <si>
    <t>Frais divers Chambre Bruxelloise</t>
  </si>
  <si>
    <t>Evénement Chambre Bruxelloise</t>
  </si>
  <si>
    <t>Frais déplacement groupe de travail</t>
  </si>
  <si>
    <t>HONORAIRES</t>
  </si>
  <si>
    <t>Honoraires et consultations</t>
  </si>
  <si>
    <t>Etudes et analyses</t>
  </si>
  <si>
    <t>Secrétariat social</t>
  </si>
  <si>
    <t>Frais procédure avocats (cotisation)</t>
  </si>
  <si>
    <t>Cout de récupération = revenus</t>
  </si>
  <si>
    <t>Frais procédure huissier (cotisation)</t>
  </si>
  <si>
    <t>Frais de citation (cotisation)</t>
  </si>
  <si>
    <t>Traductions</t>
  </si>
  <si>
    <t>Vertalingen</t>
  </si>
  <si>
    <t>Honoraires comptables externes</t>
  </si>
  <si>
    <t>Externe boekhouders honoraria</t>
  </si>
  <si>
    <t>Honoraires architecte T&amp;T</t>
  </si>
  <si>
    <t>Autres honoraires experts</t>
  </si>
  <si>
    <t>Andere Honoraria experten</t>
  </si>
  <si>
    <t>Honoraires reviseur d'entreprise</t>
  </si>
  <si>
    <t>Formation continue / stagiaires</t>
  </si>
  <si>
    <t>SENSIBILISATION</t>
  </si>
  <si>
    <t>Publications diverses</t>
  </si>
  <si>
    <t>Batibouw</t>
  </si>
  <si>
    <t>Bisbeurs</t>
  </si>
  <si>
    <t>Autres actions FR</t>
  </si>
  <si>
    <t>Colloques</t>
  </si>
  <si>
    <t>Siteweb + intranet</t>
  </si>
  <si>
    <t>Corporate divers</t>
  </si>
  <si>
    <t>Frais divers sensibilisation</t>
  </si>
  <si>
    <t>Base de données des contacts de presse et media</t>
  </si>
  <si>
    <t>Database perscontacten &amp; media-support</t>
  </si>
  <si>
    <t>Matériel publicitaire</t>
  </si>
  <si>
    <t>Rapport annuel de l'ordre</t>
  </si>
  <si>
    <t>Newsletter</t>
  </si>
  <si>
    <t>Salons divers</t>
  </si>
  <si>
    <t>Sponsoring divers / partenariat</t>
  </si>
  <si>
    <t>AR-happening / réception Nouvel An</t>
  </si>
  <si>
    <t>Consultance + sous-traitance</t>
  </si>
  <si>
    <t>COTISATION</t>
  </si>
  <si>
    <t>Cotisations ACE</t>
  </si>
  <si>
    <t>Autres cotisations</t>
  </si>
  <si>
    <r>
      <rPr>
        <b/>
        <sz val="8"/>
        <rFont val="Arial"/>
        <family val="2"/>
      </rPr>
      <t>CN
NR</t>
    </r>
  </si>
  <si>
    <r>
      <rPr>
        <b/>
        <sz val="8"/>
        <rFont val="Arial"/>
        <family val="2"/>
      </rPr>
      <t>AILE FR   /
FR VLEUGEL</t>
    </r>
  </si>
  <si>
    <r>
      <rPr>
        <b/>
        <sz val="8"/>
        <rFont val="Arial"/>
        <family val="2"/>
      </rPr>
      <t>AILE NL    /
NL VLEUGEL</t>
    </r>
  </si>
  <si>
    <t>Réparations immobilier</t>
  </si>
  <si>
    <t>si répartition :</t>
  </si>
  <si>
    <t>CfgOA</t>
  </si>
  <si>
    <t>VR</t>
  </si>
  <si>
    <t xml:space="preserve">Budget VROA 2023                                                            </t>
  </si>
  <si>
    <t>Kosten mede-eigendom gebouwen Akenkaai &amp; Ruca</t>
  </si>
  <si>
    <t>Kosten mede-eigendom (parking Akenkaai)</t>
  </si>
  <si>
    <t>Huur roerende goederen (IT materiaal)</t>
  </si>
  <si>
    <t>Huur rollend materiaal (firmawagens)</t>
  </si>
  <si>
    <t xml:space="preserve">Onderhoud/schoonmaak gebouwen </t>
  </si>
  <si>
    <t>Onderhoud toestellen/kopijmachines</t>
  </si>
  <si>
    <t>Herstellingen gebouwen</t>
  </si>
  <si>
    <t>Herstellingen kantoormateriaal</t>
  </si>
  <si>
    <t>Kluwer - Jura</t>
  </si>
  <si>
    <t>Brandstof firmawagens</t>
  </si>
  <si>
    <t>Aankoop klein IT-materiaal</t>
  </si>
  <si>
    <t>IT (onderhoudscontracten,licenties)</t>
  </si>
  <si>
    <t xml:space="preserve">Digitalisering archieven </t>
  </si>
  <si>
    <t>Diverse verzekeringen/Diefstal+ICT</t>
  </si>
  <si>
    <t>Verzekering - BA</t>
  </si>
  <si>
    <t>KOSTEN MANDATARISSEN  - VERGADERINGEN</t>
  </si>
  <si>
    <t>Vergoeding transport Raad van Beroep NL</t>
  </si>
  <si>
    <t>Internationale betrekkingen</t>
  </si>
  <si>
    <t>Mandatariskosten - restaurant</t>
  </si>
  <si>
    <t>Mandatariskosten - verplaatsing (parking...)</t>
  </si>
  <si>
    <t>Mandatariskosten - evenementen (cadeau/bloemen)</t>
  </si>
  <si>
    <t xml:space="preserve">HONORARIA  </t>
  </si>
  <si>
    <t>Diverse honoraria advocaten</t>
  </si>
  <si>
    <t>Advocaatprocedure Bijdragen</t>
  </si>
  <si>
    <t>Ext.gespec.studies juridische dienst</t>
  </si>
  <si>
    <t>Overige Erelonen( boekhouding,..)</t>
  </si>
  <si>
    <t xml:space="preserve"> COMMUNICATIE &amp; MARKETING</t>
  </si>
  <si>
    <t>Diverse publicaties + social media+website</t>
  </si>
  <si>
    <t>Acties verkiezingen</t>
  </si>
  <si>
    <t>Sociale media</t>
  </si>
  <si>
    <t>Batibouw (NAT)</t>
  </si>
  <si>
    <t>MarCom werkingsbudget</t>
  </si>
  <si>
    <t>Nieuwjaarskaart</t>
  </si>
  <si>
    <t>(voorbereiding) nieuwe website</t>
  </si>
  <si>
    <t xml:space="preserve">Acties stagairs </t>
  </si>
  <si>
    <t>Gids voor stagemeesters/Stagegids</t>
  </si>
  <si>
    <t>Infofiche (ver-)bouwers</t>
  </si>
  <si>
    <t>De architect tekenend voor uw toekomst</t>
  </si>
  <si>
    <t>Publiciteitsmateriaal</t>
  </si>
  <si>
    <t>Jaarverslag VLRA</t>
  </si>
  <si>
    <t>Architect@work</t>
  </si>
  <si>
    <t>Redactiewerk</t>
  </si>
  <si>
    <t>NJ-receptie/Staten-Generaal/Congres</t>
  </si>
  <si>
    <t>Belga</t>
  </si>
  <si>
    <t>Personeelskosten - restaurant</t>
  </si>
  <si>
    <t>Personeelskosten - evenementen - geschenken</t>
  </si>
  <si>
    <t>Personeelskosten - Attentia,Edenred,overige</t>
  </si>
  <si>
    <t xml:space="preserve">Personeelsdag </t>
  </si>
  <si>
    <t>Interim/stagiairs</t>
  </si>
  <si>
    <t>Informatica: investeringen software</t>
  </si>
  <si>
    <t>Informatica: investeringen hardware</t>
  </si>
  <si>
    <t xml:space="preserve">Meubilair-inrichting </t>
  </si>
  <si>
    <t>Niet ontvangen bijdragen (dubieuze debiteuren)</t>
  </si>
  <si>
    <t>FINANCIËLE KOSTEN</t>
  </si>
  <si>
    <t>Financiële kosten-bankkosten</t>
  </si>
  <si>
    <t>Roerende voorheffing</t>
  </si>
  <si>
    <t>TUSSENTOTAAL KOSTEN</t>
  </si>
  <si>
    <t>DOTATIE NATIONALE RAAD (56,5%)</t>
  </si>
  <si>
    <t>TOTAAL KOSTEN</t>
  </si>
  <si>
    <t>Bijdragen architecten</t>
  </si>
  <si>
    <t xml:space="preserve">Diverse opbrengsten </t>
  </si>
  <si>
    <t xml:space="preserve">Financiële opbrengsten </t>
  </si>
  <si>
    <t>Diverse inkomsten (recup.admin.kosten bijdragen-30€)</t>
  </si>
  <si>
    <t xml:space="preserve">TOTAAL OPBRENGSTEN </t>
  </si>
  <si>
    <t xml:space="preserve">Resultaat (te financieren met eigen middelen) : </t>
  </si>
  <si>
    <t>Budget 2023</t>
  </si>
  <si>
    <t>tenzij anders vermeld: budget excl. prestatiekosten mandatarissen</t>
  </si>
  <si>
    <t>Nieuwjaarsreceptie</t>
  </si>
  <si>
    <t>Nieuwjaarsreceptie op vrijdag 20 januari 2023 in De Warande, Brussel incl. academische zitting, walking dinner en attentie (incl. aankondiging 60 jaar Orde festivititeiten) voor alle gasten.
Budget uitgaande van 150 aanwezigen.
. Opmerking - wordt ook voorzien voor de nieuwjaarsreceptie:
budget voor fotoreportage nieuwjaarsreceptie -&gt; zie budgetpost 'Beeldmateriaal'.</t>
  </si>
  <si>
    <t>60 jaar Orde</t>
  </si>
  <si>
    <t>Activiteiten Vlaamse Raad n.a.v. 60 jaar Orde. 
60 jaar Orde 'De Vlaamse Raad gaat 5x in dialoog'
- 5 evenementen in de 5 provincies:
. ANT - Havenhuis, Antwerpen
. LIM - PXL Campus, Hasselt
. WVL - A@W (Kortrijk Xpo), Kortrijk
. BXL - De Warande, Brussel
. OVL - nog te bepalen (Wintercircus, Gent wordt beoogd)
- Programma: ontvangst, panelgesprek (met professionele moderator - Goedele Wachters), receptie
- Budget = uitgaande van 100 aanwezigen per event.
- Opmerking - worden ook voorzien voor 60 jaar Orde: 
. budget voor eventuele bijstand bij inhoudelijke uitwerking congres -&gt; 
  zie budgetpost 'Bijstand communicatie en beleid'.
. budget voor fotoreportages events -&gt; zie budgetpost 'Beeldmateriaal'.</t>
  </si>
  <si>
    <t>Congres wet '39</t>
  </si>
  <si>
    <t>budget voor praktische organisatie congres wet '39
- in Koninklijk Pakhuis (auditorium Syntra + receptie in kantoor VROA)
- genodigden = mandatarissen
. Opmerking: wordt ook voorzien voor het congres wet '39:
Budget voor  eventuele bijstand bij inhoudelijke uitwerking congres 
-&gt; zie budgetpost 'Bijstand communicatie en beleid'.</t>
  </si>
  <si>
    <t>Nomenclature</t>
  </si>
  <si>
    <t>Index 2022</t>
  </si>
  <si>
    <t>Index 2023</t>
  </si>
  <si>
    <t>BUDGET CfgOA</t>
  </si>
  <si>
    <t>TOTAL</t>
  </si>
  <si>
    <t>CFG-OA</t>
  </si>
  <si>
    <t>TOTAL CP</t>
  </si>
  <si>
    <t>BCBW</t>
  </si>
  <si>
    <t>HAI</t>
  </si>
  <si>
    <t>NAM</t>
  </si>
  <si>
    <t>LUX</t>
  </si>
  <si>
    <t>LIE</t>
  </si>
  <si>
    <t>BUDGET CNOA</t>
  </si>
  <si>
    <t xml:space="preserve">Contribution Budget CNOA </t>
  </si>
  <si>
    <t>Loyers et charges locatives</t>
  </si>
  <si>
    <t>Charges de co-propriété batiments</t>
  </si>
  <si>
    <t>Energie et eau (si pas dans loyers et charges)</t>
  </si>
  <si>
    <t xml:space="preserve">Entretien immobilier </t>
  </si>
  <si>
    <t>Entretien mobilier - Location DEA</t>
  </si>
  <si>
    <t>Entretien voiture</t>
  </si>
  <si>
    <t xml:space="preserve">FOURNITURES  </t>
  </si>
  <si>
    <t xml:space="preserve">Matériel de bureau </t>
  </si>
  <si>
    <t>Maintenance/Location copieurs</t>
  </si>
  <si>
    <t>Téléphone, fax, GSM</t>
  </si>
  <si>
    <t>Internet et intranet</t>
  </si>
  <si>
    <t xml:space="preserve">Frais de port </t>
  </si>
  <si>
    <t>Frais élections</t>
  </si>
  <si>
    <t>IT - Consultancy / Maintenance / Backup Data</t>
  </si>
  <si>
    <t>Achats petit matériel informatique</t>
  </si>
  <si>
    <t>IT - Frais divers</t>
  </si>
  <si>
    <t>Licences</t>
  </si>
  <si>
    <t>Digitalisation archives</t>
  </si>
  <si>
    <t>Assurances  - incendie</t>
  </si>
  <si>
    <t>Assurances  - responsab. civile</t>
  </si>
  <si>
    <t>Assurances - auto</t>
  </si>
  <si>
    <t>Assurances - autres (divers)</t>
  </si>
  <si>
    <t>FRAIS MANDATAIRES - REUNION</t>
  </si>
  <si>
    <t>Indemn.prestations CfgOA</t>
  </si>
  <si>
    <t>Indemn.transport CfgOA</t>
  </si>
  <si>
    <t>Frais mandataires - restaurant</t>
  </si>
  <si>
    <t>Frais mandataires - déplacements (parking/taxi)</t>
  </si>
  <si>
    <t>Frais mandataires - événements (cadeaux/fleurs/divers)</t>
  </si>
  <si>
    <t>Frais mandataires - journée mandataires</t>
  </si>
  <si>
    <t>Frais événements - stage</t>
  </si>
  <si>
    <t>Frais mandataires - divers</t>
  </si>
  <si>
    <t>Frais événements Provincial - Mandataires</t>
  </si>
  <si>
    <t>Chambres professionnelles</t>
  </si>
  <si>
    <t>Honoraires avocats et consultations</t>
  </si>
  <si>
    <t>Frais procédure avocats (cotisations)</t>
  </si>
  <si>
    <t>Honoraires divers</t>
  </si>
  <si>
    <t>Frais procédure huissier (cotisations)</t>
  </si>
  <si>
    <t>Frais de citation (cotisations)</t>
  </si>
  <si>
    <t>Honoraires comptables</t>
  </si>
  <si>
    <t>Honoraires reviseur d'entreprise CFGOA</t>
  </si>
  <si>
    <t>Brochures - Diverses publications</t>
  </si>
  <si>
    <t xml:space="preserve">Siteweb  </t>
  </si>
  <si>
    <t xml:space="preserve"> </t>
  </si>
  <si>
    <t>Matériel publicitaire / Frais divers (Campagnes)</t>
  </si>
  <si>
    <t>Evènements divers</t>
  </si>
  <si>
    <t>Newsletter (Archinews)</t>
  </si>
  <si>
    <t>Partenariat divers</t>
  </si>
  <si>
    <t>Etats de l'Ordre (60 ans OA)</t>
  </si>
  <si>
    <t xml:space="preserve">Corporate divers </t>
  </si>
  <si>
    <t>Consultance + sous-traitance (Designer - graphistes)</t>
  </si>
  <si>
    <t>Autres cotisations - Profession libérale.be UCM</t>
  </si>
  <si>
    <t>Rémunérations et charges</t>
  </si>
  <si>
    <t>Frais personnel - charges sociales</t>
  </si>
  <si>
    <t>Frais personnel - transport</t>
  </si>
  <si>
    <t>Frais personnel - assur. groupe</t>
  </si>
  <si>
    <t>Frais personnel - assur. Hospitalisation</t>
  </si>
  <si>
    <t>Frais personnel - chèques-repas</t>
  </si>
  <si>
    <t>Frais personnel - assur. acc. du travail</t>
  </si>
  <si>
    <t>Frais personnel - réunions</t>
  </si>
  <si>
    <t>Frais personnel (événements, cadeaux,…)</t>
  </si>
  <si>
    <t>Formations - personnel</t>
  </si>
  <si>
    <t xml:space="preserve">Journée du personnel </t>
  </si>
  <si>
    <t>Frais personnel - engagement</t>
  </si>
  <si>
    <t>Mobilier / aménagements divers bureaux</t>
  </si>
  <si>
    <t>Provision litige CIRB (Irisnet)</t>
  </si>
  <si>
    <t>Provision litige Personnel</t>
  </si>
  <si>
    <t>Provision réforme</t>
  </si>
  <si>
    <t xml:space="preserve">Précompte immobilier </t>
  </si>
  <si>
    <t>Taxe circulation voiture</t>
  </si>
  <si>
    <t>Taxes provinciales, communales &amp; régionales</t>
  </si>
  <si>
    <t>CHARGES FINANCIERES</t>
  </si>
  <si>
    <t>Frais bancaires</t>
  </si>
  <si>
    <t>Charges financières diverses</t>
  </si>
  <si>
    <t>COTISATIONS ARCHITECTES</t>
  </si>
  <si>
    <t>REVENUS DIVERS</t>
  </si>
  <si>
    <t>Prestations de service</t>
  </si>
  <si>
    <t>Ventes fichiers</t>
  </si>
  <si>
    <t>Revenus Divers</t>
  </si>
  <si>
    <t>Revenus Financiers</t>
  </si>
  <si>
    <t>Prélèvement sur trésorerie</t>
  </si>
  <si>
    <t>TOTAL REVENUS</t>
  </si>
  <si>
    <t>Résultat / Prélèvement trésorerie</t>
  </si>
  <si>
    <t>PASSIF SOCIAL</t>
  </si>
  <si>
    <t>EXONERATION COTISATIONS ARCHITECTES</t>
  </si>
  <si>
    <t>Catégorie</t>
  </si>
  <si>
    <t>Nombre d'architectes</t>
  </si>
  <si>
    <t>Cotisation</t>
  </si>
  <si>
    <t>Total</t>
  </si>
  <si>
    <t>Architectes</t>
  </si>
  <si>
    <t>A1</t>
  </si>
  <si>
    <t>Stagiaires</t>
  </si>
  <si>
    <t>A2</t>
  </si>
  <si>
    <t>Société</t>
  </si>
  <si>
    <t>A5</t>
  </si>
  <si>
    <t>3T22</t>
  </si>
  <si>
    <t>Par Conseil</t>
  </si>
  <si>
    <t>Répartition</t>
  </si>
  <si>
    <t>Namur</t>
  </si>
  <si>
    <t>Hainaut</t>
  </si>
  <si>
    <t>Luxembourg</t>
  </si>
  <si>
    <t>Liège</t>
  </si>
  <si>
    <t>Frais Events 2022</t>
  </si>
  <si>
    <t>Accueil stagiaires uniquement</t>
  </si>
  <si>
    <t>2500 € par CP</t>
  </si>
  <si>
    <t>Différence</t>
  </si>
  <si>
    <t xml:space="preserve">TOTAL FRAIS </t>
  </si>
  <si>
    <t>Résultat</t>
  </si>
  <si>
    <t>Indexatie</t>
  </si>
  <si>
    <t>Bevoegde Raad</t>
  </si>
  <si>
    <t>Bijdragecategorie</t>
  </si>
  <si>
    <t>Totaal generaal</t>
  </si>
  <si>
    <t>bijdragen totaal</t>
  </si>
  <si>
    <t>Architect-stagiair</t>
  </si>
  <si>
    <t>Architect</t>
  </si>
  <si>
    <t>Limburg</t>
  </si>
  <si>
    <t>West-Vlaanderen</t>
  </si>
  <si>
    <t>Vlaams-Brabant</t>
  </si>
  <si>
    <t>Antwerpen</t>
  </si>
  <si>
    <t>Oost-Vlaanderen</t>
  </si>
  <si>
    <t>Grand Total</t>
  </si>
  <si>
    <t>op 8/11/2022</t>
  </si>
  <si>
    <t>RP's</t>
  </si>
  <si>
    <t>Inschrijving</t>
  </si>
  <si>
    <t>Tabel</t>
  </si>
  <si>
    <t>Totaal bijdragen per 08/11/2022</t>
  </si>
  <si>
    <t>bijdragen totaal scenario 1</t>
  </si>
  <si>
    <t>bijdragen totaal scenario 2</t>
  </si>
  <si>
    <t>scenario 1</t>
  </si>
  <si>
    <t>scenario 2</t>
  </si>
  <si>
    <t>TOTAL
TOTAAL</t>
  </si>
  <si>
    <t>VROA</t>
  </si>
  <si>
    <t>stagiairs</t>
  </si>
  <si>
    <t>architecten</t>
  </si>
  <si>
    <t>vennootschappen</t>
  </si>
  <si>
    <t>Aantal leden</t>
  </si>
  <si>
    <t>Cfg-OA</t>
  </si>
  <si>
    <t>Totaal</t>
  </si>
  <si>
    <t>% van totaal</t>
  </si>
  <si>
    <t xml:space="preserve">totaal aantal leden </t>
  </si>
  <si>
    <t>frais uniques</t>
  </si>
  <si>
    <t>eenmalige kosten</t>
  </si>
  <si>
    <t>verkiezingen orde</t>
  </si>
  <si>
    <t>60 jaar orde</t>
  </si>
  <si>
    <t>IT investeringen</t>
  </si>
  <si>
    <t>meubilair</t>
  </si>
  <si>
    <t>Elections ordre</t>
  </si>
  <si>
    <t>60 ans Ordre</t>
  </si>
  <si>
    <t>investissements informatique</t>
  </si>
  <si>
    <t>mobilier</t>
  </si>
  <si>
    <t>Bijdragen-Cotisations</t>
  </si>
  <si>
    <t>Bedrag met indexatie van / montant avec indexation de 7%</t>
  </si>
  <si>
    <t>Totaal/Total</t>
  </si>
  <si>
    <t>Total/Totaal</t>
  </si>
  <si>
    <t>BUDGET 2023</t>
  </si>
  <si>
    <t>Verschil meerinkomst (na indexatie)</t>
  </si>
  <si>
    <t>in hoofdtabel</t>
  </si>
  <si>
    <t>hogere indexatie - eerste budgetvoorstel</t>
  </si>
  <si>
    <t>BUDGET 2024</t>
  </si>
  <si>
    <t>INT-NUM</t>
  </si>
  <si>
    <t>TYPE</t>
  </si>
  <si>
    <t>DATE-IN</t>
  </si>
  <si>
    <t>OA-OK</t>
  </si>
  <si>
    <t>SUPPLIER</t>
  </si>
  <si>
    <t>INV DATE</t>
  </si>
  <si>
    <t>DUE DATE</t>
  </si>
  <si>
    <t>INV-NUM</t>
  </si>
  <si>
    <t>ACC-NUM</t>
  </si>
  <si>
    <t>PROV.</t>
  </si>
  <si>
    <t>COMMENTS</t>
  </si>
  <si>
    <t>AMOUNT</t>
  </si>
  <si>
    <t>Date PMT</t>
  </si>
  <si>
    <t>Date Signature</t>
  </si>
  <si>
    <t>ACH</t>
  </si>
  <si>
    <t>DKV</t>
  </si>
  <si>
    <t>420006800-03</t>
  </si>
  <si>
    <t>CNOA</t>
  </si>
  <si>
    <t>Premie 01-2023</t>
  </si>
  <si>
    <t>ATTENTIA</t>
  </si>
  <si>
    <t>2022 12019276</t>
  </si>
  <si>
    <t xml:space="preserve">4Q RSZ </t>
  </si>
  <si>
    <t>DOM</t>
  </si>
  <si>
    <t>Conseil des Architectes d'Europe</t>
  </si>
  <si>
    <t>03/2023</t>
  </si>
  <si>
    <t>Ace Subscription 2023</t>
  </si>
  <si>
    <t>Les Etablissements ROVA</t>
  </si>
  <si>
    <t>2023000271</t>
  </si>
  <si>
    <t>Rent exempt of VAT - Office - période 02/2023</t>
  </si>
  <si>
    <t>2023000346</t>
  </si>
  <si>
    <t>Rent exempt of VAT - Storage - période 02/2023</t>
  </si>
  <si>
    <t>Proximus</t>
  </si>
  <si>
    <t>7301156202</t>
  </si>
  <si>
    <t>Mobiel NDW</t>
  </si>
  <si>
    <t>7301156217</t>
  </si>
  <si>
    <t>Vaste telefonie dec/jan 23</t>
  </si>
  <si>
    <t>Unix Solutions</t>
  </si>
  <si>
    <t>F202300477</t>
  </si>
  <si>
    <t>Hosting omgeving januari/2023</t>
  </si>
  <si>
    <t>ALLIANZ</t>
  </si>
  <si>
    <t>310130879156</t>
  </si>
  <si>
    <t xml:space="preserve">Periode Januari </t>
  </si>
  <si>
    <t>BLUE KRYPT security Expert</t>
  </si>
  <si>
    <t>FD23-1-001</t>
  </si>
  <si>
    <t>Vote électronique - élections ordinales</t>
  </si>
  <si>
    <t>20231001010</t>
  </si>
  <si>
    <t xml:space="preserve">Provison </t>
  </si>
  <si>
    <t>ENGIE</t>
  </si>
  <si>
    <t>709 691 044 126</t>
  </si>
  <si>
    <t>Kartuizerstr - contract 2 152 365 260</t>
  </si>
  <si>
    <t>EDENRED</t>
  </si>
  <si>
    <t>2310042279</t>
  </si>
  <si>
    <t>Maaltijdcheques jan 2023</t>
  </si>
  <si>
    <t>ZOOM</t>
  </si>
  <si>
    <t>INV186155777</t>
  </si>
  <si>
    <t xml:space="preserve">Cloud recording </t>
  </si>
  <si>
    <t>terugbet aan VROA</t>
  </si>
  <si>
    <t>2023 000 282</t>
  </si>
  <si>
    <t>Service Charge Provisions</t>
  </si>
  <si>
    <t>UNIX SOLUTIONS</t>
  </si>
  <si>
    <t>F2023 00603 - 660</t>
  </si>
  <si>
    <t>VPS plan februari /2023</t>
  </si>
  <si>
    <t>WABU</t>
  </si>
  <si>
    <t>23040</t>
  </si>
  <si>
    <t xml:space="preserve">Batibouw </t>
  </si>
  <si>
    <t>23016</t>
  </si>
  <si>
    <t>Voorschot stand Batibouw</t>
  </si>
  <si>
    <t>23039</t>
  </si>
  <si>
    <t xml:space="preserve">Batibouw stand </t>
  </si>
  <si>
    <t>P&amp;V VERZEKERINGEN</t>
  </si>
  <si>
    <t>32703833/001</t>
  </si>
  <si>
    <t>P&amp;V Ideal Liability</t>
  </si>
  <si>
    <t>GSP PARTNER</t>
  </si>
  <si>
    <t>202318010146</t>
  </si>
  <si>
    <t>Période 4ième trimestre 2022</t>
  </si>
  <si>
    <t>48019492</t>
  </si>
  <si>
    <t>Ideal Accidents</t>
  </si>
  <si>
    <t xml:space="preserve">2023 13000289 </t>
  </si>
  <si>
    <t>Frais de gestion Attentia</t>
  </si>
  <si>
    <t>2023 01003175</t>
  </si>
  <si>
    <t>précompte Professionnel</t>
  </si>
  <si>
    <t>PROXIMUS</t>
  </si>
  <si>
    <t xml:space="preserve">7301719955 </t>
  </si>
  <si>
    <t>7301719977</t>
  </si>
  <si>
    <t>Vaste telefonie jan/febr 2023</t>
  </si>
  <si>
    <t>AKIRA (ACE Translators)</t>
  </si>
  <si>
    <t>31/02/2023</t>
  </si>
  <si>
    <t>I_23-00168</t>
  </si>
  <si>
    <t>Comité de suivi élections</t>
  </si>
  <si>
    <t>I_23-00169</t>
  </si>
  <si>
    <t>Séance du Conseil National</t>
  </si>
  <si>
    <t>MENSURA</t>
  </si>
  <si>
    <t>2303 1461</t>
  </si>
  <si>
    <t>Werknemersbijdragen VROA-CFGOA-NROA</t>
  </si>
  <si>
    <t>MARSH</t>
  </si>
  <si>
    <t>5210122/0865937</t>
  </si>
  <si>
    <t>période 01/10/2022 - 30/09/2023</t>
  </si>
  <si>
    <t>2023 02004584</t>
  </si>
  <si>
    <t xml:space="preserve">Provsions Onss </t>
  </si>
  <si>
    <t>Fidal Avocats</t>
  </si>
  <si>
    <t>BRXFID23000168</t>
  </si>
  <si>
    <t>Prestations de Mme Aladenise - 01/23</t>
  </si>
  <si>
    <t>708 730 738 087</t>
  </si>
  <si>
    <t>Kartuizerstr - ean 541448920709776973</t>
  </si>
  <si>
    <t>310/1316/39901</t>
  </si>
  <si>
    <t>groepsverzekering NDW</t>
  </si>
  <si>
    <t>INV190725733</t>
  </si>
  <si>
    <t xml:space="preserve">Terugbetalen à VROA </t>
  </si>
  <si>
    <t>2023 000478</t>
  </si>
  <si>
    <t>Rent exempt of VAT - Office - période 03/2023</t>
  </si>
  <si>
    <t xml:space="preserve">2023 000551 </t>
  </si>
  <si>
    <t>Rent exempt of VAT - Storage - période 03/2023</t>
  </si>
  <si>
    <t>Codabel management</t>
  </si>
  <si>
    <t>2023 000501</t>
  </si>
  <si>
    <t>LAB9</t>
  </si>
  <si>
    <t>2302 1806</t>
  </si>
  <si>
    <t xml:space="preserve">Licenties </t>
  </si>
  <si>
    <t>LAURENTY</t>
  </si>
  <si>
    <t>90/2023/01002245</t>
  </si>
  <si>
    <t>Periode januari 2023</t>
  </si>
  <si>
    <t>Agence Régionale pour la propreté</t>
  </si>
  <si>
    <t>2023 07002396235</t>
  </si>
  <si>
    <t>Huisafval</t>
  </si>
  <si>
    <t xml:space="preserve">73022 88891 </t>
  </si>
  <si>
    <t>Vaste telefonie 02/03</t>
  </si>
  <si>
    <t>F202300716</t>
  </si>
  <si>
    <t>VPS plan maart/2023</t>
  </si>
  <si>
    <t>I_23-00373</t>
  </si>
  <si>
    <t>Elections ordinales électroniques 2023</t>
  </si>
  <si>
    <t>I_23-00374</t>
  </si>
  <si>
    <t>BRUNEAU</t>
  </si>
  <si>
    <t>13 155 993</t>
  </si>
  <si>
    <t>Allerlei kantoormateriaal en kantine</t>
  </si>
  <si>
    <t xml:space="preserve">ACH </t>
  </si>
  <si>
    <t>I-23-00375</t>
  </si>
  <si>
    <t>Nationale raad van 17/02/23</t>
  </si>
  <si>
    <t>SOLUCIOUS</t>
  </si>
  <si>
    <t>Batibouw 2023</t>
  </si>
  <si>
    <t>2023 000 666</t>
  </si>
  <si>
    <t>Placement d'une boite à clefs</t>
  </si>
  <si>
    <t xml:space="preserve">Facturation Brussels Expo </t>
  </si>
  <si>
    <t xml:space="preserve">2023 03003450 </t>
  </si>
  <si>
    <t>23073563</t>
  </si>
  <si>
    <t>Werknemersbijdrage</t>
  </si>
  <si>
    <t>709 611 135 423</t>
  </si>
  <si>
    <t>Afrekening Kartuizerstraat 19/4-6</t>
  </si>
  <si>
    <t>23066</t>
  </si>
  <si>
    <t>2023 01005321</t>
  </si>
  <si>
    <t>BET</t>
  </si>
  <si>
    <t>2023 13001450</t>
  </si>
  <si>
    <t>2023 02006395</t>
  </si>
  <si>
    <t>Subvention PP secteur profit PME</t>
  </si>
  <si>
    <t>755535-A</t>
  </si>
  <si>
    <t>groepsverzekering NDW_maart 2023</t>
  </si>
  <si>
    <t>Ville de Bruxelles</t>
  </si>
  <si>
    <t>Année 2022</t>
  </si>
  <si>
    <t xml:space="preserve">Gemeentebelasting 2022 Livourne </t>
  </si>
  <si>
    <t>73028 59050</t>
  </si>
  <si>
    <t xml:space="preserve">730285 9063 </t>
  </si>
  <si>
    <t>Vaste lijn NROA</t>
  </si>
  <si>
    <t xml:space="preserve">BET </t>
  </si>
  <si>
    <t>42006800</t>
  </si>
  <si>
    <t>Periode 03-2023</t>
  </si>
  <si>
    <t>URBAN LAW</t>
  </si>
  <si>
    <t>2023-489</t>
  </si>
  <si>
    <t>Verschillende dossiers</t>
  </si>
  <si>
    <t>2023 000736</t>
  </si>
  <si>
    <t>Rent exempt of VAT - storage april 2023</t>
  </si>
  <si>
    <t>28/03/203</t>
  </si>
  <si>
    <t>INV195110174</t>
  </si>
  <si>
    <t>2310181292</t>
  </si>
  <si>
    <t>Maaltijdcheques maart 2023</t>
  </si>
  <si>
    <t>F202300867</t>
  </si>
  <si>
    <t>VPS plan april/2023</t>
  </si>
  <si>
    <t>5/04/203</t>
  </si>
  <si>
    <t>23032123</t>
  </si>
  <si>
    <t>Rapid SSL certificaat</t>
  </si>
  <si>
    <t>CALUWAERTS UYTTERHOEVEN LEGAL OFFICE</t>
  </si>
  <si>
    <t>CVBA/2000696</t>
  </si>
  <si>
    <t xml:space="preserve">CNOA </t>
  </si>
  <si>
    <t>Dossier Belgische staat - Beroep tot nietigverklaring</t>
  </si>
  <si>
    <t>I_23-00495</t>
  </si>
  <si>
    <t>Prestaties NROA van 24/03</t>
  </si>
  <si>
    <t>VSS20232325447</t>
  </si>
  <si>
    <t>Payroll essentials</t>
  </si>
  <si>
    <t>Periode 02-2023</t>
  </si>
  <si>
    <t>SKYDOO</t>
  </si>
  <si>
    <t>BED2023040573</t>
  </si>
  <si>
    <t>Certificaten opstart project</t>
  </si>
  <si>
    <t>Periode 04-2023</t>
  </si>
  <si>
    <t>2023 18040365</t>
  </si>
  <si>
    <t>1e trimester 2023</t>
  </si>
  <si>
    <t>COOLBLUE</t>
  </si>
  <si>
    <t xml:space="preserve">1917 898302 </t>
  </si>
  <si>
    <t>Aankoop mini-router en switch poorten</t>
  </si>
  <si>
    <t>BRUSSELS FOODIE</t>
  </si>
  <si>
    <t>92/2022/762</t>
  </si>
  <si>
    <t xml:space="preserve">Broodjes standbemanners Batibouw </t>
  </si>
  <si>
    <t>92/2022/743</t>
  </si>
  <si>
    <t>92/2022/722</t>
  </si>
  <si>
    <t>92/2022/702</t>
  </si>
  <si>
    <t>92/2022/688</t>
  </si>
  <si>
    <t>92/2022/670</t>
  </si>
  <si>
    <t xml:space="preserve">2023 04001083 </t>
  </si>
  <si>
    <t>provison Onss</t>
  </si>
  <si>
    <t>2023 03010224</t>
  </si>
  <si>
    <t>Afrekening RSZ_eerste kwartaal 2023</t>
  </si>
  <si>
    <t>Laurenty</t>
  </si>
  <si>
    <t>90/2023/03002051</t>
  </si>
  <si>
    <t>Prestaties maart 2023</t>
  </si>
  <si>
    <t>Engie</t>
  </si>
  <si>
    <t>709 371 112 703</t>
  </si>
  <si>
    <t xml:space="preserve">Verbruik Kartuizersttraat </t>
  </si>
  <si>
    <t>12023047163</t>
  </si>
  <si>
    <t>Reprobel 2023</t>
  </si>
  <si>
    <t>Edenred</t>
  </si>
  <si>
    <t>2310239023</t>
  </si>
  <si>
    <t>Maaltijdcheques periode 04/23</t>
  </si>
  <si>
    <t>Unix solutions</t>
  </si>
  <si>
    <t>F202301006</t>
  </si>
  <si>
    <t>VPS plan periode mei 2023</t>
  </si>
  <si>
    <t>ROVA (Esset)</t>
  </si>
  <si>
    <t>2023000912</t>
  </si>
  <si>
    <t xml:space="preserve">cnoa </t>
  </si>
  <si>
    <t>Rent storage Koningstraat 05/23</t>
  </si>
  <si>
    <t>Zoom</t>
  </si>
  <si>
    <t>INV199672911</t>
  </si>
  <si>
    <t>Cloud recording 04-23</t>
  </si>
  <si>
    <t>ACE</t>
  </si>
  <si>
    <t>47/2023</t>
  </si>
  <si>
    <t>Participation fee GA23/1</t>
  </si>
  <si>
    <t xml:space="preserve">2023 05001782 </t>
  </si>
  <si>
    <t>Groepsverzekering</t>
  </si>
  <si>
    <t>2023 04002922</t>
  </si>
  <si>
    <t>2023 04004355</t>
  </si>
  <si>
    <t>2023 13003883</t>
  </si>
  <si>
    <t>2023 13003182</t>
  </si>
  <si>
    <t>2023 03005510</t>
  </si>
  <si>
    <t>7303 408931</t>
  </si>
  <si>
    <t>7303 408947</t>
  </si>
  <si>
    <t>Vaste telefonie april/mei</t>
  </si>
  <si>
    <t>I_23-00727</t>
  </si>
  <si>
    <t>Prestaties NROA van 19/04/2023</t>
  </si>
  <si>
    <t>Les Etablissements ROVA (ESSET)</t>
  </si>
  <si>
    <t>2023 001031</t>
  </si>
  <si>
    <t>Property Taks periode 01/22-31/22</t>
  </si>
  <si>
    <t>2023 07002440665</t>
  </si>
  <si>
    <t>Huisafval Livorno - contract 1438 période 01/05/23 - 23-07/23</t>
  </si>
  <si>
    <t>42006800 - 03</t>
  </si>
  <si>
    <t>periode 05-2023</t>
  </si>
  <si>
    <t>707 049 731 061</t>
  </si>
  <si>
    <t>Ean 541448920709776973</t>
  </si>
  <si>
    <t>Service Publix Fédéral FINANCES</t>
  </si>
  <si>
    <t>21 0017 N</t>
  </si>
  <si>
    <t xml:space="preserve">Droit de mise au rôle jugement du 16/2/2020 </t>
  </si>
  <si>
    <t>ok</t>
  </si>
  <si>
    <t>INV204030778</t>
  </si>
  <si>
    <t>Cloud recording</t>
  </si>
  <si>
    <t>31/05/22023</t>
  </si>
  <si>
    <t>10/1338/14317</t>
  </si>
  <si>
    <t>Groepsverzekering periode mei-2023</t>
  </si>
  <si>
    <t>2023 05004245</t>
  </si>
  <si>
    <t xml:space="preserve">  Provision ONSS</t>
  </si>
  <si>
    <t>23 10305141</t>
  </si>
  <si>
    <t>Maaltijdcheques NDW periode mei 2023</t>
  </si>
  <si>
    <t>2023 001171</t>
  </si>
  <si>
    <t>Rent exempt of VAT - storage Rue Royale periode 06/23 -30/06/23</t>
  </si>
  <si>
    <t>BakerTilly</t>
  </si>
  <si>
    <t>2304 00869</t>
  </si>
  <si>
    <t>Audit 2022</t>
  </si>
  <si>
    <t>F2023 01126</t>
  </si>
  <si>
    <t>VPS plan periode juni 2023</t>
  </si>
  <si>
    <t>I_23-00494</t>
  </si>
  <si>
    <t>Comité de suivi - elections ordinales électroniques 8-22/03/2023</t>
  </si>
  <si>
    <t>Codabel Management (Esset)</t>
  </si>
  <si>
    <t>2023 001305</t>
  </si>
  <si>
    <t>Service Charge Provisions 04-23</t>
  </si>
  <si>
    <t>2023 001220</t>
  </si>
  <si>
    <t>Rent exempt of VAT - office periode 04/2023</t>
  </si>
  <si>
    <t>2023 001221</t>
  </si>
  <si>
    <t>Rent of vat - Office  - periode 05/2023</t>
  </si>
  <si>
    <t>2023 001306</t>
  </si>
  <si>
    <t>Service charge Provsions (est) - Periode 06/2023</t>
  </si>
  <si>
    <t>2023 001222</t>
  </si>
  <si>
    <t>Rent of exempt f VAT - office periode 06/2023</t>
  </si>
  <si>
    <t>13 272 486</t>
  </si>
  <si>
    <t xml:space="preserve">Kantine en bureaumateriaal </t>
  </si>
  <si>
    <t>73 03977923</t>
  </si>
  <si>
    <t>73 03977939</t>
  </si>
  <si>
    <t>Vast toestel NROA</t>
  </si>
  <si>
    <t>I_23-00959</t>
  </si>
  <si>
    <t>NROA 8/06/2023</t>
  </si>
  <si>
    <t>310/1332/96981</t>
  </si>
  <si>
    <t>Periode 04/2023</t>
  </si>
  <si>
    <t>I_23-00960</t>
  </si>
  <si>
    <t>Réunion stratégique</t>
  </si>
  <si>
    <t>90/2023/05001595</t>
  </si>
  <si>
    <t>Prestations de mai 2023</t>
  </si>
  <si>
    <t>500/0823/59440</t>
  </si>
  <si>
    <t>Ideal Accidents periode van 01/07-30/09</t>
  </si>
  <si>
    <t>31/0/2023</t>
  </si>
  <si>
    <t>2023 13005128</t>
  </si>
  <si>
    <t>2023 05005546</t>
  </si>
  <si>
    <t>2023 06004179</t>
  </si>
  <si>
    <t>Provisions Onss</t>
  </si>
  <si>
    <t>310/1344/98569</t>
  </si>
  <si>
    <t>Periode 05/2023</t>
  </si>
  <si>
    <t>Marsh</t>
  </si>
  <si>
    <t>5403043/0932272</t>
  </si>
  <si>
    <t>Assurance des Cyber-Risques</t>
  </si>
  <si>
    <t>708 731 042 166</t>
  </si>
  <si>
    <t>Kartuizerstraat 19/4 ean 541448920709776973</t>
  </si>
  <si>
    <t>231035 8680</t>
  </si>
  <si>
    <t>Maaltijdcheques periode 06/23</t>
  </si>
  <si>
    <t>232033 1014</t>
  </si>
  <si>
    <t>Eco-cheques</t>
  </si>
  <si>
    <t>INV208297316</t>
  </si>
  <si>
    <t>ESSET LES ETABLISSEMENTS ROVA</t>
  </si>
  <si>
    <t>2023 001283</t>
  </si>
  <si>
    <t>Rent exempt of vat - office PERIODE 07/2023</t>
  </si>
  <si>
    <t>2023 001369</t>
  </si>
  <si>
    <t>rent exempt of vat - storage PERIODE 07/2023 Archief Koningstraat</t>
  </si>
  <si>
    <t>2023 001418</t>
  </si>
  <si>
    <t>Service charge provisions PERIODE 07/2023</t>
  </si>
  <si>
    <t>F202301275</t>
  </si>
  <si>
    <t>VPS Plan 07/2023</t>
  </si>
  <si>
    <t>Vivaqua</t>
  </si>
  <si>
    <t>CN705000053713</t>
  </si>
  <si>
    <t>Teruggave Livorno</t>
  </si>
  <si>
    <t>checken</t>
  </si>
  <si>
    <t>DM&amp;S</t>
  </si>
  <si>
    <t>CTD 2023127</t>
  </si>
  <si>
    <t>Jaarlijks contract SUPPORT CARE periode 07/2023 - 06/2024</t>
  </si>
  <si>
    <t>CTB 20230181</t>
  </si>
  <si>
    <t>BOB COMPTA periode - 07/2023 - 06/2024</t>
  </si>
  <si>
    <t>DKV belgium</t>
  </si>
  <si>
    <t>periode 07-2023</t>
  </si>
  <si>
    <t>téléphone mobile Nadine</t>
  </si>
  <si>
    <t>téléphone fixe CNOA</t>
  </si>
  <si>
    <t>GSP Partner</t>
  </si>
  <si>
    <t>C8135 3773678110</t>
  </si>
  <si>
    <t>periode deuxième trimestre 2023</t>
  </si>
  <si>
    <t>F90/2023/06001878</t>
  </si>
  <si>
    <t>prestatations de juin 2023</t>
  </si>
  <si>
    <t>Akira translations</t>
  </si>
  <si>
    <t>I_23-01171</t>
  </si>
  <si>
    <t>Nationale Raad- 23/06/2023 - 13h30 - 17h</t>
  </si>
  <si>
    <t>I_23-01172</t>
  </si>
  <si>
    <t>Comité de suivi - Elections ordinales 21/06/2023</t>
  </si>
  <si>
    <t>Provision ONSS juillet 2023</t>
  </si>
  <si>
    <t xml:space="preserve">Cotisations patronales 2ième trimestre </t>
  </si>
  <si>
    <t>periode juilliet 2023</t>
  </si>
  <si>
    <t>709 691 511 734</t>
  </si>
  <si>
    <t>Periode juli 2023</t>
  </si>
  <si>
    <t>23129108</t>
  </si>
  <si>
    <t>Periode 01-23/12-23</t>
  </si>
  <si>
    <t>2023 07004689</t>
  </si>
  <si>
    <t>Aanvullend pensioenverzekering</t>
  </si>
  <si>
    <t>2023 001551</t>
  </si>
  <si>
    <t>Kartuizerstraat periode 01/08-31/08</t>
  </si>
  <si>
    <t>2023 001626</t>
  </si>
  <si>
    <t>Koningstraat archief periode 01/08-31/08</t>
  </si>
  <si>
    <t>CODABEL</t>
  </si>
  <si>
    <t>2023 001742</t>
  </si>
  <si>
    <t xml:space="preserve">Provisie </t>
  </si>
  <si>
    <t>2023 01395</t>
  </si>
  <si>
    <t>VPN periode 08/2023</t>
  </si>
  <si>
    <t>ANSAY Roseline</t>
  </si>
  <si>
    <t>40-2023</t>
  </si>
  <si>
    <t>Vertalingen NROA</t>
  </si>
  <si>
    <t>23071466</t>
  </si>
  <si>
    <t>Periode 08-2023</t>
  </si>
  <si>
    <t>705091878</t>
  </si>
  <si>
    <t>73 05091888</t>
  </si>
  <si>
    <t>INV 212505315</t>
  </si>
  <si>
    <t xml:space="preserve">2023 13007699 </t>
  </si>
  <si>
    <t>2023 08004717</t>
  </si>
  <si>
    <t>2023 07005335</t>
  </si>
  <si>
    <t>BED 2023070558</t>
  </si>
  <si>
    <t>achat du certificat de production</t>
  </si>
  <si>
    <t>90/2023/07001985</t>
  </si>
  <si>
    <t>prestations 07/23</t>
  </si>
  <si>
    <t>708 010 888 249</t>
  </si>
  <si>
    <t>BED 2023060504</t>
  </si>
  <si>
    <t>prestations periode 1-06/1-08-23</t>
  </si>
  <si>
    <t>zoom</t>
  </si>
  <si>
    <t xml:space="preserve">INV216677677 </t>
  </si>
  <si>
    <t>Cloud recording periode 08-23</t>
  </si>
  <si>
    <t>LES ETABLISSEMENTS ROVA</t>
  </si>
  <si>
    <t>2023 001718</t>
  </si>
  <si>
    <t>Rent of exempt of VAT - Office 09-23</t>
  </si>
  <si>
    <t>2023 001794</t>
  </si>
  <si>
    <t>Rent of exempt of VAT - Storage 09-23</t>
  </si>
  <si>
    <t>2023 001973</t>
  </si>
  <si>
    <t>Service charge provisions 09-23</t>
  </si>
  <si>
    <t>2023-1531</t>
  </si>
  <si>
    <t>SandraGassen</t>
  </si>
  <si>
    <t>F202301504</t>
  </si>
  <si>
    <t>VPS Plan 09/2023</t>
  </si>
  <si>
    <t>BED2023090249</t>
  </si>
  <si>
    <t>Huurperiode 09-10-11/23</t>
  </si>
  <si>
    <t xml:space="preserve">2023 08008241 </t>
  </si>
  <si>
    <t>PP periode 08-23</t>
  </si>
  <si>
    <t>2023 13009031</t>
  </si>
  <si>
    <t>2310501245</t>
  </si>
  <si>
    <t>Maaltijdcheques 08-23</t>
  </si>
  <si>
    <t>13371 536</t>
  </si>
  <si>
    <t xml:space="preserve">Spa reine </t>
  </si>
  <si>
    <t>13367 908</t>
  </si>
  <si>
    <t>13379 083</t>
  </si>
  <si>
    <t>73056 4773</t>
  </si>
  <si>
    <t>Abonnement NDW Mobiel</t>
  </si>
  <si>
    <t>730564 7784</t>
  </si>
  <si>
    <t>13388 232</t>
  </si>
  <si>
    <t>Kantoormateriaal</t>
  </si>
  <si>
    <t>2023-1714</t>
  </si>
  <si>
    <t>Dossier Livourne/Sandra Gassen</t>
  </si>
  <si>
    <t>2/09/203</t>
  </si>
  <si>
    <t>500/1529/11984</t>
  </si>
  <si>
    <t>79 851 839 851</t>
  </si>
  <si>
    <t>Ean 541448920709776973 - Kartuizerstraat</t>
  </si>
  <si>
    <t>2023 09003258</t>
  </si>
  <si>
    <t>Provisions Onss sept 2023</t>
  </si>
  <si>
    <t>BED2023060505</t>
  </si>
  <si>
    <t>Période 06-07-08/2023</t>
  </si>
  <si>
    <t>INV220926524</t>
  </si>
  <si>
    <t>Période 08-09/2023</t>
  </si>
  <si>
    <t>2023 001895</t>
  </si>
  <si>
    <t>Rent exempt of VAT - Office periode 10/2023</t>
  </si>
  <si>
    <t>2023 001979</t>
  </si>
  <si>
    <t>Koningstraat archief periode 01/10-31/2023</t>
  </si>
  <si>
    <t>2023 00227</t>
  </si>
  <si>
    <t>Service charge provisions 10/2023</t>
  </si>
  <si>
    <t>F2024 00099</t>
  </si>
  <si>
    <t>VPS  Plan Periode oktober/2023</t>
  </si>
  <si>
    <t>I_23-01564</t>
  </si>
  <si>
    <t>Periode 29/09/2023</t>
  </si>
  <si>
    <t>134 28844</t>
  </si>
  <si>
    <t>310/1371/02617</t>
  </si>
  <si>
    <t>Periode 08/2023</t>
  </si>
  <si>
    <t>310/1366/65612</t>
  </si>
  <si>
    <t>Periode 09/2023</t>
  </si>
  <si>
    <t>VSS2023364170</t>
  </si>
  <si>
    <t>Juridisch advies - aanpassen AR ad  gewijzigde wetgeving - template</t>
  </si>
  <si>
    <t>2023  09006240</t>
  </si>
  <si>
    <t>PP periode 09/2023</t>
  </si>
  <si>
    <t>2023 13010266</t>
  </si>
  <si>
    <t>Frais de gestion Attentia 09/2023</t>
  </si>
  <si>
    <t>4200 6800 - 03</t>
  </si>
  <si>
    <t>Periode 09-2023</t>
  </si>
  <si>
    <t>708 251 136 179</t>
  </si>
  <si>
    <t>FA23-A-002</t>
  </si>
  <si>
    <t>90/2023/09002036</t>
  </si>
  <si>
    <t>BED2023 00570</t>
  </si>
  <si>
    <t xml:space="preserve">Installatiekosten </t>
  </si>
  <si>
    <t>Les etablissements ROVA</t>
  </si>
  <si>
    <t>2023 002082</t>
  </si>
  <si>
    <t>Huurperiode kantoor 11-2023</t>
  </si>
  <si>
    <t>2023 002153</t>
  </si>
  <si>
    <t>Huurperiode storage 11-2023</t>
  </si>
  <si>
    <t>2023 002569</t>
  </si>
  <si>
    <t>Service charge provisions</t>
  </si>
  <si>
    <t>F202400228</t>
  </si>
  <si>
    <t>Periode 11-2023</t>
  </si>
  <si>
    <t>INV225090987</t>
  </si>
  <si>
    <t>cloud recording periode 10-11/23</t>
  </si>
  <si>
    <t>73 06749599</t>
  </si>
  <si>
    <t>73 06749609</t>
  </si>
  <si>
    <t>rubriek in globaal budget</t>
  </si>
  <si>
    <t>?</t>
  </si>
  <si>
    <t>toelichting</t>
  </si>
  <si>
    <t>hospitalisatieverzekering</t>
  </si>
  <si>
    <t>bedrijfsvoorheffing of personeelskosten voor orde</t>
  </si>
  <si>
    <t>maaltijdcheques</t>
  </si>
  <si>
    <t>zoom maandabonnement</t>
  </si>
  <si>
    <t>server unieke lijst</t>
  </si>
  <si>
    <t>vuilophaling</t>
  </si>
  <si>
    <t>bedrijfsvoorheffing</t>
  </si>
  <si>
    <t>patronale bijdragen</t>
  </si>
  <si>
    <t>of bob + webhosting --&gt; Dots Attentia jaarabonnement</t>
  </si>
  <si>
    <t xml:space="preserve">? </t>
  </si>
  <si>
    <t>zou in lonen moeten zitten</t>
  </si>
  <si>
    <t>afrekening unieke lijst</t>
  </si>
  <si>
    <t>huurgeld website</t>
  </si>
  <si>
    <t>frequentie</t>
  </si>
  <si>
    <t>eenmalig</t>
  </si>
  <si>
    <t>maandelijks</t>
  </si>
  <si>
    <t>niet in 2024</t>
  </si>
  <si>
    <t>jaarlijks</t>
  </si>
  <si>
    <t>na te gaan, is misschien voor VROA?</t>
  </si>
  <si>
    <t>kwartaal</t>
  </si>
  <si>
    <t>Rijlabels</t>
  </si>
  <si>
    <t>(leeg)</t>
  </si>
  <si>
    <t>Eindtotaal</t>
  </si>
  <si>
    <t>Som van AMOUNT</t>
  </si>
  <si>
    <t>Kolomlabels</t>
  </si>
  <si>
    <t>provisie gemeenschappelijke lasten</t>
  </si>
  <si>
    <t>huurprijs archiefruimte Koningsstraat</t>
  </si>
  <si>
    <t>huurprijs kantoren Kartuizersstraat</t>
  </si>
  <si>
    <t>eenheidsprijs</t>
  </si>
  <si>
    <t>aantal</t>
  </si>
  <si>
    <t>totaalkost</t>
  </si>
  <si>
    <t>BTW (indien nodig)</t>
  </si>
  <si>
    <t>opmerking</t>
  </si>
  <si>
    <t>geïndexeerd per nov 2023</t>
  </si>
  <si>
    <t>geïndexeerd per nov 2024</t>
  </si>
  <si>
    <t>trimestrieel</t>
  </si>
  <si>
    <t>verbruik kopieën</t>
  </si>
  <si>
    <t>maandkost Engie</t>
  </si>
  <si>
    <t>afrekening 2023 voor 2022</t>
  </si>
  <si>
    <t>Telefonie, fax, gsm</t>
  </si>
  <si>
    <t>maandabonnement mobiel</t>
  </si>
  <si>
    <t>maankost vaste telefonie</t>
  </si>
  <si>
    <t>Verzekeringen</t>
  </si>
  <si>
    <t>polis AIG EUROPE/ BF33001796 - RC professionnelle</t>
  </si>
  <si>
    <t>polis AIG EUROPE/ BF31003393 - RC des administrateurs</t>
  </si>
  <si>
    <t>P&amp;V Ideal property - 28513775/011 - brandverzekering</t>
  </si>
  <si>
    <t>abex index juli 2023</t>
  </si>
  <si>
    <t>abex index juli 2022</t>
  </si>
  <si>
    <t>zonder 60 jaar orde</t>
  </si>
  <si>
    <t>kosten investeringen gebouwen VBBH en ANT</t>
  </si>
  <si>
    <t>saldo minder in 2024 op NROA begroting</t>
  </si>
  <si>
    <t>raming indien begroting vorig jaar - saldo</t>
  </si>
  <si>
    <t>indien 58% VROA leden</t>
  </si>
  <si>
    <t>P&amp;V Ideal Liability - 32703833/01</t>
  </si>
  <si>
    <t>P&amp;V VERZEKERINGEN- all-risk ICT</t>
  </si>
  <si>
    <t>diverse verzekeringen</t>
  </si>
  <si>
    <t>zoom cloud reporting</t>
  </si>
  <si>
    <t xml:space="preserve">IT (BOB + webhosting) </t>
  </si>
  <si>
    <t>Unix vps hosting unieke lijst</t>
  </si>
  <si>
    <t>IT consultancy</t>
  </si>
  <si>
    <t>BOB - contracten (2) - DM&amp;S</t>
  </si>
  <si>
    <t>Lab9 - rapid ssl certificaat</t>
  </si>
  <si>
    <t>Lab9 - creative cloud</t>
  </si>
  <si>
    <t>Microsoft Business licentie</t>
  </si>
  <si>
    <t>VBBH</t>
  </si>
  <si>
    <t>Gebouwen - meubilair/inrichting</t>
  </si>
  <si>
    <t>ANT</t>
  </si>
  <si>
    <t xml:space="preserve">Domotica thermostaat afstand bediend </t>
  </si>
  <si>
    <t>AFDELING</t>
  </si>
  <si>
    <t>PV</t>
  </si>
  <si>
    <t>ENV</t>
  </si>
  <si>
    <t>KMV</t>
  </si>
  <si>
    <t>VV</t>
  </si>
  <si>
    <t>AFD TOTAAL</t>
  </si>
  <si>
    <t>National &gt; Raad • Conseil</t>
  </si>
  <si>
    <t>National &gt; Bureau</t>
  </si>
  <si>
    <t>National &gt; Werkgroepen • Groupes de travail &gt; Hervorming stage • Réforme stage</t>
  </si>
  <si>
    <t>National &gt; Werkgroepen • Groupes de travail &gt; Werkgroep Tucht</t>
  </si>
  <si>
    <t>National &gt; Werkgroepen • Groupes de travail &gt; Comité de suivi élections</t>
  </si>
  <si>
    <t>TOTAAL:</t>
  </si>
  <si>
    <t>Skydoo - huur website cnoa-nroa,be</t>
  </si>
  <si>
    <t>herstelling Akenkaai: herstelling vloer (€25,000), installatie waterontharder (€3,000)</t>
  </si>
  <si>
    <t>5/12/2023 (1-11/2023)</t>
  </si>
  <si>
    <t>Extrapolatie naar volledig jaar</t>
  </si>
  <si>
    <t>som NROA+Bureau</t>
  </si>
  <si>
    <t>som werkgroepen</t>
  </si>
  <si>
    <t>Budget 2024</t>
  </si>
  <si>
    <t>Kluwer - Jura (incl. juridische bibliotheek)</t>
  </si>
  <si>
    <t>Erelonen andere experten</t>
  </si>
  <si>
    <t xml:space="preserve">Diverse publicaties </t>
  </si>
  <si>
    <t>Evenementen (voorheen: NJ-receptie/Staten-Generaal/Congres)</t>
  </si>
  <si>
    <t xml:space="preserve">Onroerende voorheffing </t>
  </si>
  <si>
    <t>waarvan niet-recurrente kosten</t>
  </si>
  <si>
    <t xml:space="preserve">Goedgekeurd mits aanpassing dotatie NROA tijdens VROA van </t>
  </si>
  <si>
    <t>status op: 24/11/2023</t>
  </si>
  <si>
    <t>% deelname in inkomsten (zonder diverse opbrengsten)</t>
  </si>
  <si>
    <t>Bedrag per hoofd voor uitgaven</t>
  </si>
  <si>
    <t>Status op: 4/10/2023</t>
  </si>
  <si>
    <t>Business Space</t>
  </si>
  <si>
    <t>Boekhouder</t>
  </si>
  <si>
    <t>eenmalige kosten (niet jaarlijks wederkerend)</t>
  </si>
  <si>
    <t>Omgevingsloket - implementatie data in Sugar + integratie opvolgingsdossiers</t>
  </si>
  <si>
    <t>Infrastructuur - upgrade servers met nieuwe windows licenties</t>
  </si>
  <si>
    <t>Sugar - MW03521 Verzekeringen</t>
  </si>
  <si>
    <t>Sugar - MW03551 Opvolgingsdossier</t>
  </si>
  <si>
    <t>Sugar - Fase 2 PHP upgrade</t>
  </si>
  <si>
    <t>Nieuwe werkstations/laptops inclusief randapparatuur</t>
  </si>
  <si>
    <t>Vervanging 2/4 Ricoh printers</t>
  </si>
  <si>
    <t>projector Vlaams-Brabant</t>
  </si>
  <si>
    <t>verschil huurprijs met huidige huurprijs vanaf 2024</t>
  </si>
  <si>
    <t>raming structureel tekort vanaf 2026</t>
  </si>
  <si>
    <t>houdt rekening met verminderde huurprijs vanaf 1/1/2025</t>
  </si>
  <si>
    <t>in 2025 2 maanden huurvrij, in 2028 2 maanden en in 2031 1 maand huurvrij
houdt geen rekening met aangroei architectenbestand (gezien kosten ook door inflatie stijgen)</t>
  </si>
  <si>
    <t>Index 2024</t>
  </si>
  <si>
    <t>Frais événements</t>
  </si>
  <si>
    <t>Evénements divers</t>
  </si>
  <si>
    <t>Etats de l'Ordre</t>
  </si>
  <si>
    <t>(voir ajout ci-dessous)</t>
  </si>
  <si>
    <t>Ajout - Informations complémentaires (demande CfgOA)</t>
  </si>
  <si>
    <t>Déficit actuel</t>
  </si>
  <si>
    <t>Total "Cotisations"</t>
  </si>
  <si>
    <t>Total "Cotisations" ($)</t>
  </si>
  <si>
    <t>($) si augmentation cotisation "société" : passe de 111 € à 250 €</t>
  </si>
  <si>
    <t>Déficit (revu et corrigé)</t>
  </si>
  <si>
    <t>Cotisation (indexée)</t>
  </si>
  <si>
    <t>3T23</t>
  </si>
  <si>
    <r>
      <rPr>
        <b/>
        <sz val="8"/>
        <rFont val="Calibri"/>
        <family val="2"/>
        <scheme val="minor"/>
      </rPr>
      <t>CN
NR</t>
    </r>
  </si>
  <si>
    <r>
      <rPr>
        <b/>
        <sz val="8"/>
        <rFont val="Calibri"/>
        <family val="2"/>
        <scheme val="minor"/>
      </rPr>
      <t>AILE FR   /
FR VLEUGEL</t>
    </r>
  </si>
  <si>
    <r>
      <rPr>
        <b/>
        <sz val="8"/>
        <rFont val="Calibri"/>
        <family val="2"/>
        <scheme val="minor"/>
      </rPr>
      <t>AILE NL    /
NL VLEUGEL</t>
    </r>
  </si>
  <si>
    <r>
      <rPr>
        <sz val="8"/>
        <color rgb="FFFF0000"/>
        <rFont val="Calibri"/>
        <family val="2"/>
        <scheme val="minor"/>
      </rPr>
      <t>43,50%</t>
    </r>
  </si>
  <si>
    <r>
      <rPr>
        <sz val="8"/>
        <color rgb="FFFF0000"/>
        <rFont val="Calibri"/>
        <family val="2"/>
        <scheme val="minor"/>
      </rPr>
      <t>56,50%</t>
    </r>
  </si>
  <si>
    <t>BUDGET 2025</t>
  </si>
  <si>
    <t>Frais déménagement - aménagement</t>
  </si>
  <si>
    <t>Indemn. International FR + NL</t>
  </si>
  <si>
    <t>Rapport annuel de l'Ordre</t>
  </si>
  <si>
    <t>Résultat financier/frais bancaires</t>
  </si>
  <si>
    <t>Frais mandataires - déplacements (parking, taxi)</t>
  </si>
  <si>
    <t>Assurances - Mandataires + RC administrateurs + Cyber risques</t>
  </si>
  <si>
    <t>Frais événements CP et CfgOA mandataires</t>
  </si>
  <si>
    <t>Evénements divers + frais de rédaction</t>
  </si>
  <si>
    <t>Future Build</t>
  </si>
  <si>
    <t>Accompagnement Gestion - Mensura</t>
  </si>
  <si>
    <t>Rentabiliser locaux</t>
  </si>
  <si>
    <t>Sociétés</t>
  </si>
  <si>
    <t>Revenus Divers (avec augmentation)</t>
  </si>
  <si>
    <t>BUDGET 2026</t>
  </si>
  <si>
    <t>Prestsys</t>
  </si>
  <si>
    <t>Etats de l'ordre - Rentrée solennelle</t>
  </si>
  <si>
    <t>Loyers et charges locatives autres (bâtiment -parking)</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</si>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</sst>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 #,##0.00;[Red]&quot;€&quot;\ \-#,##0.00"/>
    <numFmt numFmtId="165" formatCode="_ * #,##0.00_ ;_ * \-#,##0.00_ ;_ * &quot;-&quot;??_ ;_ @_ "/>
    <numFmt numFmtId="166" formatCode="_ * #,##0_ ;_ * \-#,##0_ ;_ * &quot;-&quot;??_ ;_ @_ "/>
    <numFmt numFmtId="167" formatCode="dd/mm/yy;@"/>
    <numFmt numFmtId="168" formatCode="d/mm/yy;@"/>
    <numFmt numFmtId="169" formatCode="0.000"/>
    <numFmt numFmtId="170" formatCode="0.0%"/>
  </numFmts>
  <fonts count="82"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8"/>
      <name val="Times New Roman"/>
      <family val="1"/>
    </font>
    <font>
      <sz val="8"/>
      <color rgb="FF000000"/>
      <name val="Arial"/>
      <family val="2"/>
    </font>
    <font>
      <b/>
      <sz val="8"/>
      <name val="Arial"/>
      <family val="2"/>
    </font>
    <font>
      <b/>
      <sz val="8"/>
      <color rgb="FF000000"/>
      <name val="Arial"/>
      <family val="2"/>
    </font>
    <font>
      <sz val="10"/>
      <color rgb="FF000000"/>
      <name val="Times New Roman"/>
      <family val="1"/>
    </font>
    <font>
      <sz val="11"/>
      <color rgb="FF9C57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0"/>
      <color theme="10"/>
      <name val="Times New Roman"/>
      <family val="1"/>
    </font>
    <font>
      <b/>
      <sz val="14"/>
      <name val="Calibri"/>
      <family val="2"/>
    </font>
    <font>
      <b/>
      <sz val="11"/>
      <color indexed="8"/>
      <name val="Calibri"/>
      <family val="2"/>
    </font>
    <font>
      <sz val="10"/>
      <name val="Arial"/>
      <family val="2"/>
    </font>
    <font>
      <u/>
      <sz val="11"/>
      <name val="Calibri"/>
      <family val="2"/>
      <scheme val="minor"/>
    </font>
    <font>
      <u/>
      <sz val="10"/>
      <name val="Arial"/>
      <family val="2"/>
    </font>
    <font>
      <b/>
      <sz val="10"/>
      <color theme="0"/>
      <name val="Arial"/>
      <family val="2"/>
    </font>
    <font>
      <b/>
      <sz val="10"/>
      <color theme="1"/>
      <name val="Arial"/>
      <family val="2"/>
    </font>
    <font>
      <sz val="10"/>
      <color theme="1"/>
      <name val="Arial"/>
      <family val="2"/>
    </font>
    <font>
      <b/>
      <sz val="14"/>
      <color theme="1"/>
      <name val="Calibri"/>
      <family val="2"/>
      <scheme val="minor"/>
    </font>
    <font>
      <sz val="11"/>
      <color rgb="FFC00000"/>
      <name val="Calibri"/>
      <family val="2"/>
      <scheme val="minor"/>
    </font>
    <font>
      <b/>
      <sz val="12"/>
      <name val="Calibri"/>
      <family val="2"/>
      <scheme val="minor"/>
    </font>
    <font>
      <sz val="10"/>
      <color indexed="8"/>
      <name val="Arial"/>
      <family val="2"/>
    </font>
    <font>
      <sz val="11"/>
      <name val="Calibri"/>
      <family val="2"/>
    </font>
    <font>
      <sz val="11"/>
      <color indexed="8"/>
      <name val="Calibri"/>
      <family val="2"/>
    </font>
    <font>
      <b/>
      <sz val="12"/>
      <color theme="1"/>
      <name val="Calibri"/>
      <family val="2"/>
      <scheme val="minor"/>
    </font>
    <font>
      <sz val="11"/>
      <name val="Calibri"/>
      <family val="2"/>
      <scheme val="minor"/>
    </font>
    <font>
      <sz val="11"/>
      <color rgb="FF00B050"/>
      <name val="Calibri"/>
      <family val="2"/>
    </font>
    <font>
      <sz val="11"/>
      <color rgb="FF00B050"/>
      <name val="Calibri"/>
      <family val="2"/>
      <scheme val="minor"/>
    </font>
    <font>
      <b/>
      <sz val="14"/>
      <color theme="0"/>
      <name val="Arial"/>
      <family val="2"/>
    </font>
    <font>
      <sz val="16"/>
      <color theme="1"/>
      <name val="Calibri"/>
      <family val="2"/>
      <scheme val="minor"/>
    </font>
    <font>
      <b/>
      <sz val="11"/>
      <name val="Calibri"/>
      <family val="2"/>
      <scheme val="minor"/>
    </font>
    <font>
      <sz val="11"/>
      <color rgb="FF0070C0"/>
      <name val="Calibri"/>
      <family val="2"/>
      <scheme val="minor"/>
    </font>
    <font>
      <sz val="11"/>
      <color theme="4" tint="-0.249977111117893"/>
      <name val="Calibri"/>
      <family val="2"/>
      <scheme val="minor"/>
    </font>
    <font>
      <b/>
      <sz val="11"/>
      <color rgb="FFFF0000"/>
      <name val="Calibri"/>
      <family val="2"/>
      <scheme val="minor"/>
    </font>
    <font>
      <b/>
      <sz val="11"/>
      <color rgb="FF000000"/>
      <name val="Arial"/>
      <family val="2"/>
    </font>
    <font>
      <sz val="11"/>
      <color rgb="FF000000"/>
      <name val="Arial"/>
      <family val="2"/>
    </font>
    <font>
      <sz val="10"/>
      <color rgb="FF000000"/>
      <name val="Times New Roman"/>
      <family val="1"/>
    </font>
    <font>
      <sz val="10"/>
      <color rgb="FF000000"/>
      <name val="Times New Roman"/>
      <family val="1"/>
    </font>
    <font>
      <sz val="10"/>
      <color rgb="FF000000"/>
      <name val="Arial"/>
      <family val="2"/>
    </font>
    <font>
      <sz val="10"/>
      <color rgb="FF0070C0"/>
      <name val="Arial"/>
      <family val="2"/>
    </font>
    <font>
      <b/>
      <sz val="10"/>
      <color rgb="FF000000"/>
      <name val="Arial"/>
      <family val="2"/>
    </font>
    <font>
      <b/>
      <u/>
      <sz val="10"/>
      <color rgb="FF000000"/>
      <name val="Arial"/>
      <family val="2"/>
    </font>
    <font>
      <sz val="11"/>
      <color rgb="FF000000"/>
      <name val="Calibri"/>
      <family val="2"/>
      <scheme val="minor"/>
    </font>
    <font>
      <b/>
      <u val="singleAccounting"/>
      <sz val="10"/>
      <color rgb="FF000000"/>
      <name val="Arial"/>
      <family val="2"/>
    </font>
    <font>
      <b/>
      <sz val="10"/>
      <color rgb="FF000000"/>
      <name val="Times New Roman"/>
      <family val="1"/>
    </font>
    <font>
      <sz val="10"/>
      <name val="Avenir Next LT Pro Light"/>
      <family val="2"/>
    </font>
    <font>
      <sz val="10"/>
      <color theme="1"/>
      <name val="Avenir Next LT Pro Light"/>
      <family val="2"/>
    </font>
    <font>
      <sz val="10"/>
      <color rgb="FF000000"/>
      <name val="Avenir Next LT Pro Light"/>
      <family val="2"/>
    </font>
    <font>
      <sz val="10"/>
      <color theme="1"/>
      <name val="Calibri"/>
      <family val="2"/>
      <scheme val="minor"/>
    </font>
    <font>
      <sz val="10"/>
      <color theme="1"/>
      <name val="Avenir Next LT Pro"/>
      <family val="2"/>
    </font>
    <font>
      <sz val="11"/>
      <name val="Arial"/>
      <family val="2"/>
    </font>
    <font>
      <b/>
      <sz val="8"/>
      <color rgb="FFFFFFFF"/>
      <name val="Tahoma"/>
      <family val="2"/>
    </font>
    <font>
      <sz val="8"/>
      <color rgb="FF000000"/>
      <name val="Tahoma"/>
      <family val="2"/>
    </font>
    <font>
      <b/>
      <sz val="8"/>
      <color rgb="FF000000"/>
      <name val="Tahoma"/>
      <family val="2"/>
    </font>
    <font>
      <b/>
      <sz val="14"/>
      <name val="Arial"/>
      <family val="2"/>
    </font>
    <font>
      <b/>
      <sz val="11"/>
      <color indexed="8"/>
      <name val="Arial"/>
      <family val="2"/>
    </font>
    <font>
      <b/>
      <sz val="12"/>
      <name val="Arial"/>
      <family val="2"/>
    </font>
    <font>
      <b/>
      <sz val="12"/>
      <color theme="1"/>
      <name val="Arial"/>
      <family val="2"/>
    </font>
    <font>
      <sz val="11"/>
      <color indexed="8"/>
      <name val="Arial"/>
      <family val="2"/>
    </font>
    <font>
      <b/>
      <sz val="11"/>
      <color theme="1"/>
      <name val="Arial"/>
      <family val="2"/>
    </font>
    <font>
      <sz val="11"/>
      <color theme="1"/>
      <name val="Arial"/>
      <family val="2"/>
    </font>
    <font>
      <b/>
      <sz val="14"/>
      <color theme="1"/>
      <name val="Arial"/>
      <family val="2"/>
    </font>
    <font>
      <sz val="16"/>
      <color theme="1"/>
      <name val="Arial"/>
      <family val="2"/>
    </font>
    <font>
      <i/>
      <sz val="11"/>
      <color theme="1"/>
      <name val="Arial"/>
      <family val="2"/>
    </font>
    <font>
      <sz val="11"/>
      <color rgb="FFFF0000"/>
      <name val="Arial"/>
      <family val="2"/>
    </font>
    <font>
      <b/>
      <sz val="11"/>
      <name val="Arial"/>
      <family val="2"/>
    </font>
    <font>
      <b/>
      <u/>
      <sz val="11"/>
      <color rgb="FFFF0000"/>
      <name val="Calibri"/>
      <family val="2"/>
      <scheme val="minor"/>
    </font>
    <font>
      <sz val="10"/>
      <color rgb="FF000000"/>
      <name val="Calibri"/>
      <family val="2"/>
      <scheme val="minor"/>
    </font>
    <font>
      <sz val="8"/>
      <color rgb="FFFF0000"/>
      <name val="Calibri"/>
      <family val="2"/>
      <scheme val="minor"/>
    </font>
    <font>
      <sz val="8"/>
      <color rgb="FF000000"/>
      <name val="Calibri"/>
      <family val="2"/>
      <scheme val="minor"/>
    </font>
    <font>
      <b/>
      <sz val="8"/>
      <name val="Calibri"/>
      <family val="2"/>
      <scheme val="minor"/>
    </font>
    <font>
      <b/>
      <sz val="8"/>
      <color rgb="FF000000"/>
      <name val="Calibri"/>
      <family val="2"/>
      <scheme val="minor"/>
    </font>
    <font>
      <sz val="8"/>
      <name val="Calibri"/>
      <family val="2"/>
      <scheme val="minor"/>
    </font>
    <font>
      <sz val="8"/>
      <color rgb="FF0070C0"/>
      <name val="Calibri"/>
      <family val="2"/>
      <scheme val="minor"/>
    </font>
    <font>
      <b/>
      <sz val="8"/>
      <color rgb="FFFF0000"/>
      <name val="Calibri"/>
      <family val="2"/>
      <scheme val="minor"/>
    </font>
    <font>
      <sz val="9"/>
      <name val="Calibri"/>
      <family val="2"/>
      <scheme val="minor"/>
    </font>
    <font>
      <sz val="9"/>
      <color rgb="FF000000"/>
      <name val="Calibri"/>
      <family val="2"/>
      <scheme val="minor"/>
    </font>
  </fonts>
  <fills count="32">
    <fill>
      <patternFill patternType="none"/>
    </fill>
    <fill>
      <patternFill patternType="gray125"/>
    </fill>
    <fill>
      <patternFill patternType="solid">
        <fgColor rgb="FFFFFF99"/>
      </patternFill>
    </fill>
    <fill>
      <patternFill patternType="solid">
        <fgColor rgb="FFFF99CC"/>
      </patternFill>
    </fill>
    <fill>
      <patternFill patternType="solid">
        <fgColor rgb="FF8DB4E2"/>
      </patternFill>
    </fill>
    <fill>
      <patternFill patternType="solid">
        <fgColor rgb="FFCCFFCC"/>
      </patternFill>
    </fill>
    <fill>
      <patternFill patternType="solid">
        <fgColor rgb="FFFFCC99"/>
      </patternFill>
    </fill>
    <fill>
      <patternFill patternType="solid">
        <fgColor rgb="FFCCFFFF"/>
      </patternFill>
    </fill>
    <fill>
      <patternFill patternType="solid">
        <fgColor rgb="FFFFFF9A"/>
      </patternFill>
    </fill>
    <fill>
      <patternFill patternType="solid">
        <fgColor rgb="FFFFEB9C"/>
      </patternFill>
    </fill>
    <fill>
      <patternFill patternType="solid">
        <fgColor theme="9" tint="0.39997558519241921"/>
        <bgColor indexed="64"/>
      </patternFill>
    </fill>
    <fill>
      <patternFill patternType="solid">
        <fgColor indexed="41"/>
        <bgColor indexed="64"/>
      </patternFill>
    </fill>
    <fill>
      <patternFill patternType="solid">
        <fgColor indexed="12"/>
        <bgColor indexed="64"/>
      </patternFill>
    </fill>
    <fill>
      <patternFill patternType="solid">
        <fgColor rgb="FFFFC000"/>
        <bgColor indexed="64"/>
      </patternFill>
    </fill>
    <fill>
      <patternFill patternType="solid">
        <fgColor rgb="FF0000FF"/>
        <bgColor indexed="64"/>
      </patternFill>
    </fill>
    <fill>
      <patternFill patternType="solid">
        <fgColor theme="6" tint="0.59999389629810485"/>
        <bgColor indexed="64"/>
      </patternFill>
    </fill>
    <fill>
      <patternFill patternType="solid">
        <fgColor rgb="FFCCFFFF"/>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DCDCDC"/>
        <bgColor indexed="64"/>
      </patternFill>
    </fill>
    <fill>
      <patternFill patternType="solid">
        <fgColor rgb="FFFFFFFF"/>
        <bgColor indexed="64"/>
      </patternFill>
    </fill>
    <fill>
      <patternFill patternType="solid">
        <fgColor rgb="FF336699"/>
        <bgColor indexed="64"/>
      </patternFill>
    </fill>
    <fill>
      <patternFill patternType="solid">
        <fgColor theme="5"/>
        <bgColor indexed="64"/>
      </patternFill>
    </fill>
    <fill>
      <patternFill patternType="solid">
        <fgColor theme="9"/>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FFCC"/>
        <bgColor indexed="64"/>
      </patternFill>
    </fill>
  </fills>
  <borders count="77">
    <border>
      <left/>
      <right/>
      <top/>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style="medium">
        <color indexed="64"/>
      </top>
      <bottom style="medium">
        <color indexed="64"/>
      </bottom>
      <diagonal/>
    </border>
    <border>
      <left/>
      <right/>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rgb="FF000000"/>
      </right>
      <top style="thin">
        <color rgb="FF000000"/>
      </top>
      <bottom style="thin">
        <color rgb="FF000000"/>
      </bottom>
      <diagonal/>
    </border>
    <border>
      <left style="thin">
        <color rgb="FF000000"/>
      </left>
      <right style="thick">
        <color indexed="64"/>
      </right>
      <top style="thin">
        <color rgb="FF000000"/>
      </top>
      <bottom style="thin">
        <color rgb="FF000000"/>
      </bottom>
      <diagonal/>
    </border>
    <border>
      <left style="thin">
        <color rgb="FF000000"/>
      </left>
      <right style="thick">
        <color indexed="64"/>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bottom/>
      <diagonal/>
    </border>
    <border>
      <left style="thin">
        <color indexed="64"/>
      </left>
      <right style="thin">
        <color indexed="64"/>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medium">
        <color indexed="64"/>
      </right>
      <top style="medium">
        <color indexed="64"/>
      </top>
      <bottom style="medium">
        <color indexed="64"/>
      </bottom>
      <diagonal/>
    </border>
    <border>
      <left style="thick">
        <color indexed="64"/>
      </left>
      <right style="thin">
        <color rgb="FF000000"/>
      </right>
      <top style="thin">
        <color rgb="FF000000"/>
      </top>
      <bottom/>
      <diagonal/>
    </border>
    <border>
      <left style="thin">
        <color rgb="FF000000"/>
      </left>
      <right style="thin">
        <color rgb="FF00000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medium">
        <color indexed="64"/>
      </top>
      <bottom style="medium">
        <color indexed="64"/>
      </bottom>
      <diagonal/>
    </border>
    <border>
      <left/>
      <right/>
      <top/>
      <bottom style="medium">
        <color rgb="FF000000"/>
      </bottom>
      <diagonal/>
    </border>
    <border>
      <left/>
      <right/>
      <top style="medium">
        <color indexed="64"/>
      </top>
      <bottom/>
      <diagonal/>
    </border>
    <border>
      <left/>
      <right style="thin">
        <color indexed="64"/>
      </right>
      <top style="medium">
        <color indexed="64"/>
      </top>
      <bottom style="thin">
        <color rgb="FF000000"/>
      </bottom>
      <diagonal/>
    </border>
  </borders>
  <cellStyleXfs count="9">
    <xf numFmtId="0" fontId="0" fillId="0" borderId="0"/>
    <xf numFmtId="9" fontId="9" fillId="0" borderId="0" applyFont="0" applyFill="0" applyBorder="0" applyAlignment="0" applyProtection="0"/>
    <xf numFmtId="0" fontId="10" fillId="9" borderId="0" applyNumberFormat="0" applyBorder="0" applyAlignment="0" applyProtection="0"/>
    <xf numFmtId="0" fontId="14" fillId="0" borderId="0" applyNumberFormat="0" applyFill="0" applyBorder="0" applyAlignment="0" applyProtection="0"/>
    <xf numFmtId="0" fontId="26" fillId="0" borderId="0"/>
    <xf numFmtId="0" fontId="3" fillId="0" borderId="0"/>
    <xf numFmtId="165" fontId="3" fillId="0" borderId="0" applyFont="0" applyFill="0" applyBorder="0" applyAlignment="0" applyProtection="0"/>
    <xf numFmtId="165" fontId="42" fillId="0" borderId="0" applyFont="0" applyFill="0" applyBorder="0" applyAlignment="0" applyProtection="0"/>
    <xf numFmtId="0" fontId="1" fillId="0" borderId="0"/>
  </cellStyleXfs>
  <cellXfs count="522">
    <xf numFmtId="0" fontId="0" fillId="0" borderId="0" xfId="0" applyAlignment="1">
      <alignment horizontal="left" vertical="top"/>
    </xf>
    <xf numFmtId="0" fontId="6" fillId="0" borderId="0" xfId="0" applyFont="1" applyAlignment="1">
      <alignment horizontal="left" vertical="center"/>
    </xf>
    <xf numFmtId="0" fontId="6" fillId="5" borderId="3" xfId="0" applyFont="1" applyFill="1" applyBorder="1" applyAlignment="1">
      <alignment horizontal="left" vertical="center" wrapText="1"/>
    </xf>
    <xf numFmtId="0" fontId="6" fillId="4" borderId="6" xfId="0" applyFont="1" applyFill="1" applyBorder="1" applyAlignment="1">
      <alignment horizontal="center" vertical="center" wrapText="1"/>
    </xf>
    <xf numFmtId="0" fontId="7" fillId="7" borderId="3" xfId="0" applyFont="1" applyFill="1" applyBorder="1" applyAlignment="1">
      <alignment horizontal="left" vertical="center" wrapText="1"/>
    </xf>
    <xf numFmtId="0" fontId="4" fillId="0" borderId="3" xfId="0" applyFont="1" applyBorder="1" applyAlignment="1">
      <alignment horizontal="left" vertical="center" wrapText="1"/>
    </xf>
    <xf numFmtId="0" fontId="15" fillId="10" borderId="8" xfId="0" applyFont="1" applyFill="1" applyBorder="1" applyAlignment="1">
      <alignment horizontal="center" vertical="center" wrapText="1"/>
    </xf>
    <xf numFmtId="0" fontId="16" fillId="11" borderId="8" xfId="0" applyFont="1" applyFill="1" applyBorder="1" applyAlignment="1">
      <alignment horizontal="center" vertical="center"/>
    </xf>
    <xf numFmtId="3" fontId="17" fillId="0" borderId="0" xfId="0" applyNumberFormat="1" applyFont="1" applyAlignment="1">
      <alignment horizontal="left" vertical="center"/>
    </xf>
    <xf numFmtId="3" fontId="17" fillId="0" borderId="9" xfId="0" applyNumberFormat="1" applyFont="1" applyBorder="1" applyAlignment="1">
      <alignment horizontal="left" vertical="center"/>
    </xf>
    <xf numFmtId="0" fontId="16" fillId="11" borderId="10" xfId="0" applyFont="1" applyFill="1" applyBorder="1" applyAlignment="1">
      <alignment horizontal="center" vertical="center"/>
    </xf>
    <xf numFmtId="3" fontId="17" fillId="0" borderId="11" xfId="0" applyNumberFormat="1" applyFont="1" applyBorder="1" applyAlignment="1">
      <alignment horizontal="left" vertical="center"/>
    </xf>
    <xf numFmtId="3" fontId="17" fillId="0" borderId="12" xfId="0" applyNumberFormat="1" applyFont="1" applyBorder="1" applyAlignment="1">
      <alignment horizontal="left" vertical="center"/>
    </xf>
    <xf numFmtId="3" fontId="17" fillId="0" borderId="13" xfId="0" applyNumberFormat="1" applyFont="1" applyBorder="1" applyAlignment="1">
      <alignment horizontal="left" vertical="center"/>
    </xf>
    <xf numFmtId="3" fontId="17" fillId="0" borderId="14" xfId="0" applyNumberFormat="1" applyFont="1" applyBorder="1" applyAlignment="1">
      <alignment horizontal="left" vertical="center"/>
    </xf>
    <xf numFmtId="3" fontId="17" fillId="0" borderId="0" xfId="0" quotePrefix="1" applyNumberFormat="1" applyFont="1" applyAlignment="1">
      <alignment horizontal="left" vertical="center"/>
    </xf>
    <xf numFmtId="3" fontId="18" fillId="0" borderId="0" xfId="3" quotePrefix="1" applyNumberFormat="1" applyFont="1" applyFill="1" applyBorder="1" applyAlignment="1" applyProtection="1">
      <alignment horizontal="left" vertical="center"/>
    </xf>
    <xf numFmtId="0" fontId="16" fillId="11" borderId="15" xfId="0" applyFont="1" applyFill="1" applyBorder="1" applyAlignment="1">
      <alignment horizontal="center" vertical="center"/>
    </xf>
    <xf numFmtId="3" fontId="19" fillId="0" borderId="0" xfId="0" applyNumberFormat="1" applyFont="1" applyAlignment="1">
      <alignment horizontal="left" vertical="center"/>
    </xf>
    <xf numFmtId="3" fontId="17" fillId="0" borderId="16" xfId="0" applyNumberFormat="1" applyFont="1" applyBorder="1" applyAlignment="1">
      <alignment horizontal="left" vertical="center"/>
    </xf>
    <xf numFmtId="0" fontId="16" fillId="0" borderId="8" xfId="0" applyFont="1" applyBorder="1" applyAlignment="1">
      <alignment horizontal="center" vertical="center"/>
    </xf>
    <xf numFmtId="3" fontId="20" fillId="12" borderId="8" xfId="0" applyNumberFormat="1" applyFont="1" applyFill="1" applyBorder="1" applyAlignment="1">
      <alignment horizontal="left" vertical="center"/>
    </xf>
    <xf numFmtId="0" fontId="0" fillId="0" borderId="0" xfId="0"/>
    <xf numFmtId="0" fontId="21" fillId="13" borderId="17" xfId="0" applyFont="1" applyFill="1" applyBorder="1"/>
    <xf numFmtId="0" fontId="22" fillId="0" borderId="0" xfId="0" applyFont="1"/>
    <xf numFmtId="0" fontId="20" fillId="14" borderId="8" xfId="0" applyFont="1" applyFill="1" applyBorder="1"/>
    <xf numFmtId="0" fontId="0" fillId="0" borderId="0" xfId="0" applyAlignment="1">
      <alignment vertical="top"/>
    </xf>
    <xf numFmtId="0" fontId="23" fillId="0" borderId="18" xfId="0" applyFont="1" applyBorder="1" applyAlignment="1">
      <alignment vertical="top"/>
    </xf>
    <xf numFmtId="0" fontId="24" fillId="0" borderId="0" xfId="0" applyFont="1" applyAlignment="1">
      <alignment horizontal="right"/>
    </xf>
    <xf numFmtId="0" fontId="0" fillId="0" borderId="0" xfId="0" applyAlignment="1">
      <alignment horizontal="right"/>
    </xf>
    <xf numFmtId="0" fontId="15" fillId="15" borderId="17" xfId="0" applyFont="1" applyFill="1" applyBorder="1" applyAlignment="1">
      <alignment horizontal="center" vertical="center" wrapText="1"/>
    </xf>
    <xf numFmtId="3" fontId="25" fillId="16" borderId="19" xfId="0" applyNumberFormat="1" applyFont="1" applyFill="1" applyBorder="1"/>
    <xf numFmtId="3" fontId="27" fillId="0" borderId="5" xfId="4" applyNumberFormat="1" applyFont="1" applyBorder="1"/>
    <xf numFmtId="3" fontId="28" fillId="0" borderId="5" xfId="4" applyNumberFormat="1" applyFont="1" applyBorder="1"/>
    <xf numFmtId="3" fontId="29" fillId="16" borderId="19" xfId="0" applyNumberFormat="1" applyFont="1" applyFill="1" applyBorder="1"/>
    <xf numFmtId="3" fontId="30" fillId="0" borderId="5" xfId="2" applyNumberFormat="1" applyFont="1" applyFill="1" applyBorder="1"/>
    <xf numFmtId="3" fontId="29" fillId="16" borderId="20" xfId="0" applyNumberFormat="1" applyFont="1" applyFill="1" applyBorder="1"/>
    <xf numFmtId="3" fontId="29" fillId="16" borderId="21" xfId="0" applyNumberFormat="1" applyFont="1" applyFill="1" applyBorder="1"/>
    <xf numFmtId="3" fontId="31" fillId="0" borderId="5" xfId="4" applyNumberFormat="1" applyFont="1" applyBorder="1"/>
    <xf numFmtId="3" fontId="29" fillId="16" borderId="22" xfId="0" applyNumberFormat="1" applyFont="1" applyFill="1" applyBorder="1"/>
    <xf numFmtId="3" fontId="28" fillId="0" borderId="23" xfId="4" applyNumberFormat="1" applyFont="1" applyBorder="1"/>
    <xf numFmtId="3" fontId="32" fillId="9" borderId="5" xfId="2" applyNumberFormat="1" applyFont="1" applyBorder="1"/>
    <xf numFmtId="3" fontId="10" fillId="9" borderId="5" xfId="2" applyNumberFormat="1" applyBorder="1"/>
    <xf numFmtId="3" fontId="13" fillId="16" borderId="19" xfId="0" applyNumberFormat="1" applyFont="1" applyFill="1" applyBorder="1"/>
    <xf numFmtId="3" fontId="29" fillId="16" borderId="18" xfId="0" applyNumberFormat="1" applyFont="1" applyFill="1" applyBorder="1"/>
    <xf numFmtId="3" fontId="28" fillId="0" borderId="0" xfId="4" applyNumberFormat="1" applyFont="1"/>
    <xf numFmtId="3" fontId="33" fillId="12" borderId="18" xfId="0" applyNumberFormat="1" applyFont="1" applyFill="1" applyBorder="1" applyAlignment="1">
      <alignment horizontal="right" vertical="center"/>
    </xf>
    <xf numFmtId="4" fontId="0" fillId="0" borderId="24" xfId="0" applyNumberFormat="1" applyBorder="1"/>
    <xf numFmtId="3" fontId="23" fillId="13" borderId="19" xfId="0" applyNumberFormat="1" applyFont="1" applyFill="1" applyBorder="1"/>
    <xf numFmtId="4" fontId="22" fillId="0" borderId="24" xfId="0" applyNumberFormat="1" applyFont="1" applyBorder="1"/>
    <xf numFmtId="3" fontId="33" fillId="12" borderId="25" xfId="0" applyNumberFormat="1" applyFont="1" applyFill="1" applyBorder="1" applyAlignment="1">
      <alignment horizontal="right" vertical="center"/>
    </xf>
    <xf numFmtId="3" fontId="34" fillId="10" borderId="19" xfId="0" applyNumberFormat="1" applyFont="1" applyFill="1" applyBorder="1" applyAlignment="1">
      <alignment vertical="top"/>
    </xf>
    <xf numFmtId="3" fontId="0" fillId="0" borderId="0" xfId="0" applyNumberFormat="1"/>
    <xf numFmtId="0" fontId="6" fillId="0" borderId="0" xfId="0" applyFont="1" applyAlignment="1">
      <alignment horizontal="right" vertical="center"/>
    </xf>
    <xf numFmtId="0" fontId="30" fillId="0" borderId="5" xfId="5" applyFont="1" applyBorder="1" applyAlignment="1">
      <alignment vertical="center"/>
    </xf>
    <xf numFmtId="0" fontId="30" fillId="13" borderId="5" xfId="5" applyFont="1" applyFill="1" applyBorder="1" applyAlignment="1">
      <alignment horizontal="right" vertical="center"/>
    </xf>
    <xf numFmtId="0" fontId="30" fillId="13" borderId="15" xfId="5" applyFont="1" applyFill="1" applyBorder="1" applyAlignment="1">
      <alignment horizontal="right" vertical="center"/>
    </xf>
    <xf numFmtId="0" fontId="30" fillId="17" borderId="27" xfId="5" applyFont="1" applyFill="1" applyBorder="1" applyAlignment="1">
      <alignment horizontal="right" vertical="center"/>
    </xf>
    <xf numFmtId="0" fontId="30" fillId="17" borderId="16" xfId="5" applyFont="1" applyFill="1" applyBorder="1" applyAlignment="1">
      <alignment horizontal="right" vertical="center"/>
    </xf>
    <xf numFmtId="0" fontId="30" fillId="17" borderId="28" xfId="5" applyFont="1" applyFill="1" applyBorder="1" applyAlignment="1">
      <alignment horizontal="right" vertical="center"/>
    </xf>
    <xf numFmtId="0" fontId="3" fillId="0" borderId="5" xfId="5" applyBorder="1" applyAlignment="1">
      <alignment horizontal="right" vertical="center" wrapText="1"/>
    </xf>
    <xf numFmtId="0" fontId="30" fillId="18" borderId="27" xfId="5" applyFont="1" applyFill="1" applyBorder="1" applyAlignment="1">
      <alignment horizontal="right" vertical="center"/>
    </xf>
    <xf numFmtId="0" fontId="30" fillId="18" borderId="16" xfId="5" applyFont="1" applyFill="1" applyBorder="1" applyAlignment="1">
      <alignment horizontal="right" vertical="center"/>
    </xf>
    <xf numFmtId="0" fontId="30" fillId="18" borderId="28" xfId="5" applyFont="1" applyFill="1" applyBorder="1" applyAlignment="1">
      <alignment horizontal="right" vertical="center"/>
    </xf>
    <xf numFmtId="0" fontId="3" fillId="0" borderId="0" xfId="5" applyAlignment="1">
      <alignment vertical="center"/>
    </xf>
    <xf numFmtId="0" fontId="35" fillId="19" borderId="5" xfId="5" applyFont="1" applyFill="1" applyBorder="1" applyAlignment="1">
      <alignment horizontal="center" vertical="center"/>
    </xf>
    <xf numFmtId="3" fontId="35" fillId="19" borderId="5" xfId="5" applyNumberFormat="1" applyFont="1" applyFill="1" applyBorder="1" applyAlignment="1">
      <alignment horizontal="right" vertical="center" wrapText="1"/>
    </xf>
    <xf numFmtId="3" fontId="35" fillId="19" borderId="27" xfId="5" applyNumberFormat="1" applyFont="1" applyFill="1" applyBorder="1" applyAlignment="1">
      <alignment horizontal="right" vertical="center" wrapText="1"/>
    </xf>
    <xf numFmtId="3" fontId="35" fillId="19" borderId="23" xfId="5" applyNumberFormat="1" applyFont="1" applyFill="1" applyBorder="1" applyAlignment="1">
      <alignment horizontal="right" vertical="center" wrapText="1"/>
    </xf>
    <xf numFmtId="2" fontId="3" fillId="0" borderId="5" xfId="5" applyNumberFormat="1" applyBorder="1" applyAlignment="1">
      <alignment horizontal="right"/>
    </xf>
    <xf numFmtId="0" fontId="3" fillId="0" borderId="0" xfId="5"/>
    <xf numFmtId="0" fontId="35" fillId="11" borderId="5" xfId="5" applyFont="1" applyFill="1" applyBorder="1" applyAlignment="1">
      <alignment horizontal="center" vertical="center"/>
    </xf>
    <xf numFmtId="3" fontId="35" fillId="11" borderId="5" xfId="5" applyNumberFormat="1" applyFont="1" applyFill="1" applyBorder="1" applyAlignment="1">
      <alignment horizontal="right" vertical="center"/>
    </xf>
    <xf numFmtId="3" fontId="35" fillId="11" borderId="27" xfId="5" applyNumberFormat="1" applyFont="1" applyFill="1" applyBorder="1" applyAlignment="1">
      <alignment horizontal="right" vertical="center"/>
    </xf>
    <xf numFmtId="0" fontId="36" fillId="20" borderId="5" xfId="5" applyFont="1" applyFill="1" applyBorder="1"/>
    <xf numFmtId="3" fontId="30" fillId="0" borderId="5" xfId="5" applyNumberFormat="1" applyFont="1" applyBorder="1" applyAlignment="1">
      <alignment horizontal="right"/>
    </xf>
    <xf numFmtId="3" fontId="12" fillId="0" borderId="5" xfId="5" applyNumberFormat="1" applyFont="1" applyBorder="1" applyAlignment="1">
      <alignment horizontal="right"/>
    </xf>
    <xf numFmtId="3" fontId="12" fillId="0" borderId="27" xfId="5" applyNumberFormat="1" applyFont="1" applyBorder="1" applyAlignment="1">
      <alignment horizontal="right"/>
    </xf>
    <xf numFmtId="3" fontId="3" fillId="0" borderId="5" xfId="5" applyNumberFormat="1" applyBorder="1" applyAlignment="1">
      <alignment horizontal="right"/>
    </xf>
    <xf numFmtId="0" fontId="36" fillId="0" borderId="5" xfId="5" applyFont="1" applyBorder="1"/>
    <xf numFmtId="3" fontId="36" fillId="0" borderId="5" xfId="5" applyNumberFormat="1" applyFont="1" applyBorder="1" applyAlignment="1">
      <alignment horizontal="right"/>
    </xf>
    <xf numFmtId="3" fontId="36" fillId="0" borderId="27" xfId="5" applyNumberFormat="1" applyFont="1" applyBorder="1" applyAlignment="1">
      <alignment horizontal="right"/>
    </xf>
    <xf numFmtId="3" fontId="36" fillId="0" borderId="5" xfId="5" applyNumberFormat="1" applyFont="1" applyBorder="1" applyAlignment="1">
      <alignment horizontal="left"/>
    </xf>
    <xf numFmtId="3" fontId="36" fillId="0" borderId="5" xfId="5" applyNumberFormat="1" applyFont="1" applyBorder="1"/>
    <xf numFmtId="3" fontId="36" fillId="20" borderId="5" xfId="5" applyNumberFormat="1" applyFont="1" applyFill="1" applyBorder="1"/>
    <xf numFmtId="3" fontId="36" fillId="20" borderId="5" xfId="5" applyNumberFormat="1" applyFont="1" applyFill="1" applyBorder="1" applyAlignment="1">
      <alignment horizontal="left"/>
    </xf>
    <xf numFmtId="0" fontId="36" fillId="20" borderId="5" xfId="5" applyFont="1" applyFill="1" applyBorder="1" applyAlignment="1">
      <alignment horizontal="left"/>
    </xf>
    <xf numFmtId="3" fontId="36" fillId="0" borderId="5" xfId="5" applyNumberFormat="1" applyFont="1" applyBorder="1" applyAlignment="1">
      <alignment horizontal="left" vertical="center"/>
    </xf>
    <xf numFmtId="3" fontId="30" fillId="0" borderId="5" xfId="5" applyNumberFormat="1" applyFont="1" applyBorder="1" applyAlignment="1">
      <alignment horizontal="right" vertical="center"/>
    </xf>
    <xf numFmtId="3" fontId="36" fillId="0" borderId="5" xfId="5" applyNumberFormat="1" applyFont="1" applyBorder="1" applyAlignment="1">
      <alignment horizontal="right" vertical="center"/>
    </xf>
    <xf numFmtId="3" fontId="36" fillId="0" borderId="27" xfId="5" applyNumberFormat="1" applyFont="1" applyBorder="1" applyAlignment="1">
      <alignment horizontal="right" vertical="center"/>
    </xf>
    <xf numFmtId="3" fontId="3" fillId="0" borderId="5" xfId="5" applyNumberFormat="1" applyBorder="1" applyAlignment="1">
      <alignment horizontal="right" vertical="center"/>
    </xf>
    <xf numFmtId="2" fontId="3" fillId="0" borderId="5" xfId="5" applyNumberFormat="1" applyBorder="1" applyAlignment="1">
      <alignment horizontal="right" vertical="center"/>
    </xf>
    <xf numFmtId="3" fontId="37" fillId="0" borderId="5" xfId="5" applyNumberFormat="1" applyFont="1" applyBorder="1" applyAlignment="1">
      <alignment horizontal="right"/>
    </xf>
    <xf numFmtId="14" fontId="36" fillId="20" borderId="5" xfId="5" applyNumberFormat="1" applyFont="1" applyFill="1" applyBorder="1"/>
    <xf numFmtId="14" fontId="36" fillId="0" borderId="5" xfId="5" applyNumberFormat="1" applyFont="1" applyBorder="1"/>
    <xf numFmtId="0" fontId="36" fillId="0" borderId="5" xfId="5" applyFont="1" applyBorder="1" applyAlignment="1">
      <alignment horizontal="left"/>
    </xf>
    <xf numFmtId="14" fontId="30" fillId="0" borderId="5" xfId="5" applyNumberFormat="1" applyFont="1" applyBorder="1" applyAlignment="1">
      <alignment vertical="center"/>
    </xf>
    <xf numFmtId="3" fontId="11" fillId="12" borderId="5" xfId="5" applyNumberFormat="1" applyFont="1" applyFill="1" applyBorder="1"/>
    <xf numFmtId="3" fontId="11" fillId="12" borderId="5" xfId="5" applyNumberFormat="1" applyFont="1" applyFill="1" applyBorder="1" applyAlignment="1">
      <alignment horizontal="right"/>
    </xf>
    <xf numFmtId="3" fontId="11" fillId="12" borderId="27" xfId="5" applyNumberFormat="1" applyFont="1" applyFill="1" applyBorder="1" applyAlignment="1">
      <alignment horizontal="right"/>
    </xf>
    <xf numFmtId="0" fontId="30" fillId="0" borderId="5" xfId="5" applyFont="1" applyBorder="1"/>
    <xf numFmtId="4" fontId="30" fillId="0" borderId="5" xfId="5" applyNumberFormat="1" applyFont="1" applyBorder="1" applyAlignment="1">
      <alignment horizontal="right"/>
    </xf>
    <xf numFmtId="4" fontId="12" fillId="0" borderId="5" xfId="5" applyNumberFormat="1" applyFont="1" applyBorder="1" applyAlignment="1">
      <alignment horizontal="right"/>
    </xf>
    <xf numFmtId="4" fontId="12" fillId="0" borderId="27" xfId="5" applyNumberFormat="1" applyFont="1" applyBorder="1" applyAlignment="1">
      <alignment horizontal="right"/>
    </xf>
    <xf numFmtId="3" fontId="38" fillId="11" borderId="5" xfId="5" applyNumberFormat="1" applyFont="1" applyFill="1" applyBorder="1" applyAlignment="1">
      <alignment horizontal="right" vertical="center"/>
    </xf>
    <xf numFmtId="4" fontId="38" fillId="11" borderId="5" xfId="5" applyNumberFormat="1" applyFont="1" applyFill="1" applyBorder="1" applyAlignment="1">
      <alignment horizontal="right" vertical="center"/>
    </xf>
    <xf numFmtId="4" fontId="38" fillId="11" borderId="27" xfId="5" applyNumberFormat="1" applyFont="1" applyFill="1" applyBorder="1" applyAlignment="1">
      <alignment horizontal="right" vertical="center"/>
    </xf>
    <xf numFmtId="0" fontId="30" fillId="0" borderId="0" xfId="5" applyFont="1"/>
    <xf numFmtId="3" fontId="35" fillId="0" borderId="0" xfId="5" applyNumberFormat="1" applyFont="1" applyAlignment="1">
      <alignment horizontal="right"/>
    </xf>
    <xf numFmtId="3" fontId="12" fillId="0" borderId="0" xfId="5" applyNumberFormat="1" applyFont="1" applyAlignment="1">
      <alignment horizontal="right"/>
    </xf>
    <xf numFmtId="3" fontId="30" fillId="0" borderId="0" xfId="5" applyNumberFormat="1" applyFont="1" applyAlignment="1">
      <alignment horizontal="right"/>
    </xf>
    <xf numFmtId="3" fontId="38" fillId="0" borderId="0" xfId="5" applyNumberFormat="1" applyFont="1" applyAlignment="1">
      <alignment horizontal="right"/>
    </xf>
    <xf numFmtId="3" fontId="3" fillId="0" borderId="0" xfId="5" applyNumberFormat="1" applyAlignment="1">
      <alignment horizontal="right"/>
    </xf>
    <xf numFmtId="2" fontId="3" fillId="0" borderId="0" xfId="5" applyNumberFormat="1" applyAlignment="1">
      <alignment horizontal="right"/>
    </xf>
    <xf numFmtId="0" fontId="35" fillId="0" borderId="0" xfId="5" applyFont="1"/>
    <xf numFmtId="3" fontId="35" fillId="21" borderId="5" xfId="5" applyNumberFormat="1" applyFont="1" applyFill="1" applyBorder="1" applyAlignment="1">
      <alignment horizontal="right"/>
    </xf>
    <xf numFmtId="3" fontId="35" fillId="22" borderId="5" xfId="5" applyNumberFormat="1" applyFont="1" applyFill="1" applyBorder="1" applyAlignment="1">
      <alignment vertical="center"/>
    </xf>
    <xf numFmtId="3" fontId="35" fillId="22" borderId="5" xfId="5" applyNumberFormat="1" applyFont="1" applyFill="1" applyBorder="1" applyAlignment="1">
      <alignment horizontal="right" vertical="center"/>
    </xf>
    <xf numFmtId="0" fontId="30" fillId="0" borderId="0" xfId="5" applyFont="1" applyAlignment="1">
      <alignment horizontal="right"/>
    </xf>
    <xf numFmtId="0" fontId="35" fillId="22" borderId="5" xfId="5" applyFont="1" applyFill="1" applyBorder="1" applyAlignment="1">
      <alignment horizontal="left" vertical="center"/>
    </xf>
    <xf numFmtId="0" fontId="12" fillId="0" borderId="0" xfId="5" applyFont="1" applyAlignment="1">
      <alignment horizontal="right"/>
    </xf>
    <xf numFmtId="0" fontId="3" fillId="0" borderId="0" xfId="5" applyAlignment="1">
      <alignment horizontal="right"/>
    </xf>
    <xf numFmtId="0" fontId="35" fillId="23" borderId="5" xfId="5" applyFont="1" applyFill="1" applyBorder="1" applyAlignment="1">
      <alignment horizontal="right" vertical="center"/>
    </xf>
    <xf numFmtId="0" fontId="35" fillId="23" borderId="5" xfId="5" applyFont="1" applyFill="1" applyBorder="1" applyAlignment="1">
      <alignment horizontal="right" vertical="center" wrapText="1"/>
    </xf>
    <xf numFmtId="165" fontId="13" fillId="23" borderId="5" xfId="6" applyFont="1" applyFill="1" applyBorder="1" applyAlignment="1">
      <alignment horizontal="right" vertical="center"/>
    </xf>
    <xf numFmtId="0" fontId="35" fillId="0" borderId="5" xfId="5" applyFont="1" applyBorder="1" applyAlignment="1">
      <alignment horizontal="right"/>
    </xf>
    <xf numFmtId="0" fontId="30" fillId="0" borderId="5" xfId="5" applyFont="1" applyBorder="1" applyAlignment="1">
      <alignment horizontal="right"/>
    </xf>
    <xf numFmtId="165" fontId="30" fillId="0" borderId="5" xfId="6" applyFont="1" applyBorder="1" applyAlignment="1">
      <alignment horizontal="right" vertical="center"/>
    </xf>
    <xf numFmtId="3" fontId="0" fillId="0" borderId="5" xfId="6" applyNumberFormat="1" applyFont="1" applyBorder="1" applyAlignment="1">
      <alignment horizontal="right"/>
    </xf>
    <xf numFmtId="0" fontId="30" fillId="0" borderId="0" xfId="5" applyFont="1" applyAlignment="1">
      <alignment horizontal="right" vertical="center"/>
    </xf>
    <xf numFmtId="165" fontId="0" fillId="0" borderId="0" xfId="6" applyFont="1" applyFill="1" applyBorder="1" applyAlignment="1">
      <alignment horizontal="right"/>
    </xf>
    <xf numFmtId="3" fontId="13" fillId="23" borderId="5" xfId="6" applyNumberFormat="1" applyFont="1" applyFill="1" applyBorder="1" applyAlignment="1">
      <alignment horizontal="right"/>
    </xf>
    <xf numFmtId="165" fontId="13" fillId="0" borderId="0" xfId="6" applyFont="1" applyFill="1" applyBorder="1" applyAlignment="1">
      <alignment horizontal="right" vertical="center"/>
    </xf>
    <xf numFmtId="0" fontId="35" fillId="0" borderId="0" xfId="5" applyFont="1" applyAlignment="1">
      <alignment horizontal="right" vertical="center" wrapText="1"/>
    </xf>
    <xf numFmtId="3" fontId="0" fillId="0" borderId="0" xfId="6" applyNumberFormat="1" applyFont="1" applyFill="1" applyBorder="1" applyAlignment="1">
      <alignment horizontal="right"/>
    </xf>
    <xf numFmtId="0" fontId="12" fillId="0" borderId="0" xfId="5" applyFont="1"/>
    <xf numFmtId="3" fontId="13" fillId="0" borderId="0" xfId="6" applyNumberFormat="1" applyFont="1" applyFill="1" applyBorder="1" applyAlignment="1">
      <alignment horizontal="right"/>
    </xf>
    <xf numFmtId="4" fontId="3" fillId="0" borderId="0" xfId="5" applyNumberFormat="1" applyAlignment="1">
      <alignment horizontal="right"/>
    </xf>
    <xf numFmtId="0" fontId="3" fillId="0" borderId="0" xfId="5" applyAlignment="1">
      <alignment horizontal="left"/>
    </xf>
    <xf numFmtId="165" fontId="13" fillId="23" borderId="29" xfId="6" applyFont="1" applyFill="1" applyBorder="1" applyAlignment="1">
      <alignment horizontal="right" vertical="center"/>
    </xf>
    <xf numFmtId="0" fontId="35" fillId="23" borderId="29" xfId="5" applyFont="1" applyFill="1" applyBorder="1" applyAlignment="1">
      <alignment horizontal="right" vertical="center" wrapText="1"/>
    </xf>
    <xf numFmtId="0" fontId="3" fillId="0" borderId="3" xfId="5" applyBorder="1" applyAlignment="1">
      <alignment horizontal="right"/>
    </xf>
    <xf numFmtId="0" fontId="12" fillId="0" borderId="0" xfId="5" applyFont="1" applyAlignment="1">
      <alignment horizontal="left"/>
    </xf>
    <xf numFmtId="0" fontId="39" fillId="24" borderId="5" xfId="0" applyFont="1" applyFill="1" applyBorder="1" applyAlignment="1">
      <alignment horizontal="center" vertical="center" wrapText="1"/>
    </xf>
    <xf numFmtId="0" fontId="10" fillId="9" borderId="5" xfId="2" applyBorder="1"/>
    <xf numFmtId="0" fontId="40" fillId="25" borderId="5" xfId="0" applyFont="1" applyFill="1" applyBorder="1" applyAlignment="1">
      <alignment horizontal="center" vertical="center" wrapText="1"/>
    </xf>
    <xf numFmtId="166" fontId="10" fillId="9" borderId="5" xfId="2" applyNumberFormat="1" applyBorder="1"/>
    <xf numFmtId="0" fontId="39" fillId="24" borderId="0" xfId="0" applyFont="1" applyFill="1" applyAlignment="1">
      <alignment horizontal="center" vertical="center" wrapText="1"/>
    </xf>
    <xf numFmtId="166" fontId="10" fillId="9" borderId="0" xfId="2" applyNumberFormat="1"/>
    <xf numFmtId="0" fontId="41" fillId="0" borderId="0" xfId="0" applyFont="1"/>
    <xf numFmtId="166" fontId="0" fillId="0" borderId="0" xfId="0" applyNumberFormat="1"/>
    <xf numFmtId="9" fontId="3" fillId="0" borderId="0" xfId="1" applyFont="1"/>
    <xf numFmtId="0" fontId="7" fillId="3" borderId="30" xfId="0" applyFont="1" applyFill="1" applyBorder="1" applyAlignment="1">
      <alignment horizontal="left" vertical="center" wrapText="1"/>
    </xf>
    <xf numFmtId="0" fontId="6" fillId="6" borderId="31" xfId="0" applyFont="1" applyFill="1" applyBorder="1" applyAlignment="1">
      <alignment horizontal="left" vertical="center" wrapText="1"/>
    </xf>
    <xf numFmtId="0" fontId="8" fillId="0" borderId="0" xfId="0" applyFont="1" applyAlignment="1">
      <alignment horizontal="left" vertical="center"/>
    </xf>
    <xf numFmtId="3" fontId="8" fillId="0" borderId="0" xfId="0" applyNumberFormat="1" applyFont="1" applyAlignment="1">
      <alignment horizontal="right" vertical="center"/>
    </xf>
    <xf numFmtId="0" fontId="43" fillId="0" borderId="0" xfId="0" applyFont="1" applyAlignment="1">
      <alignment horizontal="left" vertical="top"/>
    </xf>
    <xf numFmtId="0" fontId="43" fillId="0" borderId="0" xfId="0" applyFont="1" applyAlignment="1">
      <alignment horizontal="left" vertical="center"/>
    </xf>
    <xf numFmtId="3" fontId="43" fillId="0" borderId="30" xfId="0" applyNumberFormat="1" applyFont="1" applyBorder="1" applyAlignment="1">
      <alignment horizontal="right" vertical="center" shrinkToFit="1"/>
    </xf>
    <xf numFmtId="3" fontId="43" fillId="0" borderId="3" xfId="0" applyNumberFormat="1" applyFont="1" applyBorder="1" applyAlignment="1">
      <alignment horizontal="right" vertical="center" shrinkToFit="1"/>
    </xf>
    <xf numFmtId="3" fontId="43" fillId="0" borderId="31" xfId="0" applyNumberFormat="1" applyFont="1" applyBorder="1" applyAlignment="1">
      <alignment horizontal="right" vertical="center" shrinkToFit="1"/>
    </xf>
    <xf numFmtId="3" fontId="44" fillId="0" borderId="3" xfId="0" applyNumberFormat="1" applyFont="1" applyBorder="1" applyAlignment="1">
      <alignment horizontal="right" vertical="center" shrinkToFit="1"/>
    </xf>
    <xf numFmtId="0" fontId="45" fillId="0" borderId="0" xfId="0" applyFont="1" applyAlignment="1">
      <alignment horizontal="left" vertical="center"/>
    </xf>
    <xf numFmtId="9" fontId="43" fillId="0" borderId="0" xfId="1" applyFont="1" applyAlignment="1">
      <alignment horizontal="left" vertical="top"/>
    </xf>
    <xf numFmtId="166" fontId="43" fillId="0" borderId="0" xfId="7" applyNumberFormat="1" applyFont="1" applyAlignment="1">
      <alignment horizontal="left" vertical="top"/>
    </xf>
    <xf numFmtId="166" fontId="43" fillId="0" borderId="0" xfId="0" applyNumberFormat="1" applyFont="1" applyAlignment="1">
      <alignment horizontal="left" vertical="top"/>
    </xf>
    <xf numFmtId="166" fontId="43" fillId="0" borderId="0" xfId="7" applyNumberFormat="1" applyFont="1"/>
    <xf numFmtId="166" fontId="46" fillId="0" borderId="0" xfId="7" applyNumberFormat="1" applyFont="1" applyAlignment="1">
      <alignment horizontal="left" vertical="top"/>
    </xf>
    <xf numFmtId="0" fontId="45" fillId="0" borderId="0" xfId="0" applyFont="1" applyAlignment="1">
      <alignment horizontal="left" vertical="top"/>
    </xf>
    <xf numFmtId="0" fontId="43" fillId="0" borderId="0" xfId="0" applyFont="1" applyAlignment="1">
      <alignment horizontal="right" vertical="top"/>
    </xf>
    <xf numFmtId="0" fontId="43" fillId="0" borderId="0" xfId="0" applyFont="1" applyAlignment="1">
      <alignment horizontal="right"/>
    </xf>
    <xf numFmtId="9" fontId="43" fillId="0" borderId="0" xfId="1" applyFont="1" applyAlignment="1">
      <alignment horizontal="right" vertical="top"/>
    </xf>
    <xf numFmtId="0" fontId="43" fillId="0" borderId="0" xfId="0" applyFont="1" applyAlignment="1">
      <alignment horizontal="left"/>
    </xf>
    <xf numFmtId="0" fontId="2" fillId="0" borderId="0" xfId="5" applyFont="1" applyAlignment="1">
      <alignment horizontal="right"/>
    </xf>
    <xf numFmtId="3" fontId="47" fillId="0" borderId="5" xfId="6" applyNumberFormat="1" applyFont="1" applyBorder="1" applyAlignment="1">
      <alignment horizontal="right"/>
    </xf>
    <xf numFmtId="0" fontId="2" fillId="0" borderId="3" xfId="5" applyFont="1" applyBorder="1" applyAlignment="1">
      <alignment horizontal="right"/>
    </xf>
    <xf numFmtId="0" fontId="2" fillId="0" borderId="0" xfId="5" applyFont="1" applyAlignment="1">
      <alignment horizontal="center" vertical="center"/>
    </xf>
    <xf numFmtId="0" fontId="4" fillId="21" borderId="3" xfId="0" applyFont="1" applyFill="1" applyBorder="1" applyAlignment="1">
      <alignment horizontal="left" vertical="center" wrapText="1"/>
    </xf>
    <xf numFmtId="166" fontId="48" fillId="0" borderId="0" xfId="0" applyNumberFormat="1" applyFont="1" applyAlignment="1">
      <alignment horizontal="left" vertical="top"/>
    </xf>
    <xf numFmtId="166" fontId="0" fillId="0" borderId="0" xfId="0" applyNumberFormat="1" applyAlignment="1">
      <alignment horizontal="left" vertical="top"/>
    </xf>
    <xf numFmtId="0" fontId="49" fillId="0" borderId="0" xfId="0" applyFont="1" applyAlignment="1">
      <alignment horizontal="left" vertical="top"/>
    </xf>
    <xf numFmtId="0" fontId="9" fillId="0" borderId="0" xfId="0" applyFont="1" applyAlignment="1">
      <alignment horizontal="left" vertical="top"/>
    </xf>
    <xf numFmtId="0" fontId="50" fillId="0" borderId="35" xfId="8" applyFont="1" applyBorder="1" applyAlignment="1">
      <alignment horizontal="center" vertical="center"/>
    </xf>
    <xf numFmtId="167" fontId="50" fillId="0" borderId="36" xfId="8" applyNumberFormat="1" applyFont="1" applyBorder="1" applyAlignment="1">
      <alignment horizontal="left" vertical="center"/>
    </xf>
    <xf numFmtId="49" fontId="50" fillId="0" borderId="36" xfId="8" applyNumberFormat="1" applyFont="1" applyBorder="1" applyAlignment="1">
      <alignment horizontal="left" vertical="center"/>
    </xf>
    <xf numFmtId="14" fontId="50" fillId="0" borderId="12" xfId="8" applyNumberFormat="1" applyFont="1" applyBorder="1" applyAlignment="1">
      <alignment horizontal="left"/>
    </xf>
    <xf numFmtId="167" fontId="50" fillId="0" borderId="35" xfId="8" applyNumberFormat="1" applyFont="1" applyBorder="1" applyAlignment="1">
      <alignment horizontal="left"/>
    </xf>
    <xf numFmtId="49" fontId="50" fillId="0" borderId="36" xfId="8" applyNumberFormat="1" applyFont="1" applyBorder="1" applyAlignment="1">
      <alignment horizontal="center"/>
    </xf>
    <xf numFmtId="0" fontId="50" fillId="0" borderId="0" xfId="8" applyFont="1" applyAlignment="1">
      <alignment horizontal="center" vertical="center"/>
    </xf>
    <xf numFmtId="0" fontId="50" fillId="0" borderId="36" xfId="8" applyFont="1" applyBorder="1" applyAlignment="1">
      <alignment horizontal="center" vertical="center"/>
    </xf>
    <xf numFmtId="4" fontId="50" fillId="0" borderId="12" xfId="8" applyNumberFormat="1" applyFont="1" applyBorder="1" applyAlignment="1">
      <alignment horizontal="right" vertical="center"/>
    </xf>
    <xf numFmtId="168" fontId="50" fillId="0" borderId="36" xfId="8" applyNumberFormat="1" applyFont="1" applyBorder="1" applyAlignment="1">
      <alignment horizontal="center" vertical="center"/>
    </xf>
    <xf numFmtId="168" fontId="50" fillId="0" borderId="12" xfId="8" applyNumberFormat="1" applyFont="1" applyBorder="1" applyAlignment="1">
      <alignment horizontal="center" vertical="center" wrapText="1"/>
    </xf>
    <xf numFmtId="0" fontId="1" fillId="0" borderId="0" xfId="8"/>
    <xf numFmtId="0" fontId="51" fillId="0" borderId="35" xfId="8" applyFont="1" applyBorder="1" applyAlignment="1">
      <alignment horizontal="center"/>
    </xf>
    <xf numFmtId="0" fontId="51" fillId="0" borderId="35" xfId="8" applyFont="1" applyBorder="1" applyAlignment="1">
      <alignment horizontal="center" vertical="center"/>
    </xf>
    <xf numFmtId="14" fontId="51" fillId="0" borderId="36" xfId="8" applyNumberFormat="1" applyFont="1" applyBorder="1" applyAlignment="1">
      <alignment horizontal="left" vertical="center"/>
    </xf>
    <xf numFmtId="0" fontId="51" fillId="0" borderId="36" xfId="8" applyFont="1" applyBorder="1" applyAlignment="1">
      <alignment horizontal="left" vertical="center"/>
    </xf>
    <xf numFmtId="14" fontId="51" fillId="0" borderId="12" xfId="8" applyNumberFormat="1" applyFont="1" applyBorder="1" applyAlignment="1">
      <alignment horizontal="left"/>
    </xf>
    <xf numFmtId="14" fontId="51" fillId="0" borderId="35" xfId="8" applyNumberFormat="1" applyFont="1" applyBorder="1" applyAlignment="1">
      <alignment horizontal="left"/>
    </xf>
    <xf numFmtId="49" fontId="51" fillId="0" borderId="36" xfId="8" applyNumberFormat="1" applyFont="1" applyBorder="1" applyAlignment="1">
      <alignment horizontal="center"/>
    </xf>
    <xf numFmtId="0" fontId="51" fillId="0" borderId="0" xfId="8" applyFont="1" applyAlignment="1">
      <alignment horizontal="center" vertical="center"/>
    </xf>
    <xf numFmtId="0" fontId="51" fillId="0" borderId="36" xfId="8" applyFont="1" applyBorder="1" applyAlignment="1">
      <alignment horizontal="center"/>
    </xf>
    <xf numFmtId="0" fontId="51" fillId="0" borderId="36" xfId="8" applyFont="1" applyBorder="1" applyAlignment="1">
      <alignment horizontal="left"/>
    </xf>
    <xf numFmtId="0" fontId="51" fillId="0" borderId="12" xfId="8" applyFont="1" applyBorder="1"/>
    <xf numFmtId="14" fontId="51" fillId="0" borderId="36" xfId="8" applyNumberFormat="1" applyFont="1" applyBorder="1" applyAlignment="1">
      <alignment horizontal="center"/>
    </xf>
    <xf numFmtId="167" fontId="50" fillId="0" borderId="36" xfId="8" quotePrefix="1" applyNumberFormat="1" applyFont="1" applyBorder="1" applyAlignment="1" applyProtection="1">
      <alignment horizontal="left" vertical="center"/>
      <protection locked="0"/>
    </xf>
    <xf numFmtId="0" fontId="50" fillId="0" borderId="36" xfId="8" applyFont="1" applyBorder="1" applyAlignment="1" applyProtection="1">
      <alignment horizontal="center"/>
      <protection locked="0"/>
    </xf>
    <xf numFmtId="49" fontId="50" fillId="0" borderId="36" xfId="8" applyNumberFormat="1" applyFont="1" applyBorder="1" applyAlignment="1" applyProtection="1">
      <alignment horizontal="left"/>
      <protection locked="0"/>
    </xf>
    <xf numFmtId="14" fontId="50" fillId="0" borderId="36" xfId="8" quotePrefix="1" applyNumberFormat="1" applyFont="1" applyBorder="1" applyAlignment="1" applyProtection="1">
      <alignment horizontal="left"/>
      <protection locked="0"/>
    </xf>
    <xf numFmtId="14" fontId="50" fillId="0" borderId="36" xfId="8" applyNumberFormat="1" applyFont="1" applyBorder="1" applyAlignment="1" applyProtection="1">
      <alignment horizontal="left"/>
      <protection locked="0"/>
    </xf>
    <xf numFmtId="49" fontId="50" fillId="0" borderId="36" xfId="8" applyNumberFormat="1" applyFont="1" applyBorder="1" applyAlignment="1" applyProtection="1">
      <alignment horizontal="center"/>
      <protection locked="0"/>
    </xf>
    <xf numFmtId="167" fontId="50" fillId="0" borderId="36" xfId="8" applyNumberFormat="1" applyFont="1" applyBorder="1" applyAlignment="1" applyProtection="1">
      <alignment horizontal="center"/>
      <protection locked="0"/>
    </xf>
    <xf numFmtId="49" fontId="50" fillId="0" borderId="36" xfId="8" quotePrefix="1" applyNumberFormat="1" applyFont="1" applyBorder="1" applyAlignment="1" applyProtection="1">
      <alignment horizontal="left"/>
      <protection locked="0"/>
    </xf>
    <xf numFmtId="16" fontId="51" fillId="0" borderId="36" xfId="8" applyNumberFormat="1" applyFont="1" applyBorder="1" applyAlignment="1">
      <alignment horizontal="center"/>
    </xf>
    <xf numFmtId="0" fontId="52" fillId="0" borderId="36" xfId="8" applyFont="1" applyBorder="1" applyAlignment="1">
      <alignment horizontal="left" vertical="center" wrapText="1"/>
    </xf>
    <xf numFmtId="0" fontId="53" fillId="0" borderId="35" xfId="8" applyFont="1" applyBorder="1" applyAlignment="1">
      <alignment horizontal="center" vertical="center"/>
    </xf>
    <xf numFmtId="14" fontId="53" fillId="0" borderId="36" xfId="8" applyNumberFormat="1" applyFont="1" applyBorder="1" applyAlignment="1">
      <alignment horizontal="left" vertical="center"/>
    </xf>
    <xf numFmtId="0" fontId="53" fillId="0" borderId="0" xfId="8" applyFont="1"/>
    <xf numFmtId="0" fontId="51" fillId="0" borderId="12" xfId="8" applyFont="1" applyBorder="1" applyAlignment="1">
      <alignment horizontal="left"/>
    </xf>
    <xf numFmtId="14" fontId="51" fillId="0" borderId="36" xfId="8" applyNumberFormat="1" applyFont="1" applyBorder="1" applyAlignment="1">
      <alignment horizontal="left"/>
    </xf>
    <xf numFmtId="14" fontId="51" fillId="0" borderId="12" xfId="8" applyNumberFormat="1" applyFont="1" applyBorder="1"/>
    <xf numFmtId="0" fontId="51" fillId="0" borderId="35" xfId="8" applyFont="1" applyBorder="1" applyAlignment="1">
      <alignment horizontal="left"/>
    </xf>
    <xf numFmtId="14" fontId="54" fillId="0" borderId="36" xfId="8" applyNumberFormat="1" applyFont="1" applyBorder="1" applyAlignment="1">
      <alignment horizontal="left" vertical="center"/>
    </xf>
    <xf numFmtId="0" fontId="51" fillId="0" borderId="36" xfId="8" applyFont="1" applyBorder="1" applyAlignment="1">
      <alignment horizontal="center" vertical="center"/>
    </xf>
    <xf numFmtId="14" fontId="51" fillId="0" borderId="12" xfId="8" applyNumberFormat="1" applyFont="1" applyBorder="1" applyAlignment="1">
      <alignment horizontal="left" vertical="center"/>
    </xf>
    <xf numFmtId="14" fontId="51" fillId="0" borderId="0" xfId="8" applyNumberFormat="1" applyFont="1" applyAlignment="1">
      <alignment horizontal="left"/>
    </xf>
    <xf numFmtId="0" fontId="51" fillId="0" borderId="36" xfId="8" applyFont="1" applyBorder="1"/>
    <xf numFmtId="17" fontId="51" fillId="0" borderId="36" xfId="8" applyNumberFormat="1" applyFont="1" applyBorder="1"/>
    <xf numFmtId="16" fontId="51" fillId="0" borderId="12" xfId="8" applyNumberFormat="1" applyFont="1" applyBorder="1" applyAlignment="1">
      <alignment horizontal="center"/>
    </xf>
    <xf numFmtId="0" fontId="51" fillId="0" borderId="12" xfId="8" applyFont="1" applyBorder="1" applyAlignment="1">
      <alignment horizontal="center"/>
    </xf>
    <xf numFmtId="1" fontId="51" fillId="0" borderId="36" xfId="8" applyNumberFormat="1" applyFont="1" applyBorder="1" applyAlignment="1">
      <alignment horizontal="center"/>
    </xf>
    <xf numFmtId="0" fontId="1" fillId="0" borderId="35" xfId="8" applyBorder="1" applyAlignment="1">
      <alignment horizontal="center" vertical="center"/>
    </xf>
    <xf numFmtId="0" fontId="1" fillId="0" borderId="35" xfId="8" applyBorder="1"/>
    <xf numFmtId="0" fontId="1" fillId="0" borderId="36" xfId="8" applyBorder="1" applyAlignment="1">
      <alignment horizontal="left" vertical="center"/>
    </xf>
    <xf numFmtId="0" fontId="55" fillId="0" borderId="3" xfId="0" applyFont="1" applyBorder="1" applyAlignment="1">
      <alignment horizontal="left" vertical="center" wrapText="1"/>
    </xf>
    <xf numFmtId="3" fontId="17" fillId="0" borderId="5" xfId="0" applyNumberFormat="1" applyFont="1" applyBorder="1" applyAlignment="1">
      <alignment horizontal="left" vertical="center"/>
    </xf>
    <xf numFmtId="0" fontId="17" fillId="0" borderId="5" xfId="0" applyFont="1" applyBorder="1" applyAlignment="1">
      <alignment horizontal="left" vertical="center"/>
    </xf>
    <xf numFmtId="0" fontId="0" fillId="0" borderId="0" xfId="0" pivotButton="1" applyAlignment="1">
      <alignment horizontal="left" vertical="top"/>
    </xf>
    <xf numFmtId="0" fontId="0" fillId="0" borderId="0" xfId="0" applyAlignment="1">
      <alignment horizontal="left" vertical="top" indent="1"/>
    </xf>
    <xf numFmtId="165" fontId="51" fillId="0" borderId="12" xfId="7" applyFont="1" applyBorder="1"/>
    <xf numFmtId="165" fontId="51" fillId="0" borderId="12" xfId="7" applyFont="1" applyBorder="1" applyAlignment="1">
      <alignment horizontal="right"/>
    </xf>
    <xf numFmtId="165" fontId="51" fillId="0" borderId="36" xfId="7" applyFont="1" applyBorder="1"/>
    <xf numFmtId="0" fontId="51" fillId="0" borderId="0" xfId="8" applyFont="1" applyAlignment="1">
      <alignment horizontal="center"/>
    </xf>
    <xf numFmtId="165" fontId="43" fillId="0" borderId="0" xfId="7" applyFont="1" applyAlignment="1">
      <alignment horizontal="left" vertical="top"/>
    </xf>
    <xf numFmtId="165" fontId="45" fillId="0" borderId="0" xfId="7" applyFont="1" applyAlignment="1">
      <alignment horizontal="left" vertical="top"/>
    </xf>
    <xf numFmtId="1" fontId="43" fillId="0" borderId="0" xfId="0" applyNumberFormat="1" applyFont="1" applyAlignment="1">
      <alignment horizontal="right" vertical="top"/>
    </xf>
    <xf numFmtId="165" fontId="45" fillId="0" borderId="0" xfId="0" applyNumberFormat="1" applyFont="1" applyAlignment="1">
      <alignment horizontal="left" vertical="top"/>
    </xf>
    <xf numFmtId="3" fontId="0" fillId="0" borderId="0" xfId="0" applyNumberFormat="1" applyAlignment="1">
      <alignment horizontal="left" vertical="top"/>
    </xf>
    <xf numFmtId="165" fontId="43" fillId="0" borderId="0" xfId="0" applyNumberFormat="1" applyFont="1" applyAlignment="1">
      <alignment horizontal="left" vertical="top"/>
    </xf>
    <xf numFmtId="0" fontId="56" fillId="26" borderId="37" xfId="0" applyFont="1" applyFill="1" applyBorder="1" applyAlignment="1">
      <alignment horizontal="center" vertical="center" wrapText="1"/>
    </xf>
    <xf numFmtId="0" fontId="56" fillId="26" borderId="38" xfId="0" applyFont="1" applyFill="1" applyBorder="1" applyAlignment="1">
      <alignment horizontal="center" vertical="center" wrapText="1"/>
    </xf>
    <xf numFmtId="0" fontId="56" fillId="26" borderId="7" xfId="0" applyFont="1" applyFill="1" applyBorder="1" applyAlignment="1">
      <alignment horizontal="center" vertical="center" wrapText="1"/>
    </xf>
    <xf numFmtId="0" fontId="57" fillId="25" borderId="39" xfId="0" applyFont="1" applyFill="1" applyBorder="1" applyAlignment="1">
      <alignment horizontal="left" vertical="center" wrapText="1"/>
    </xf>
    <xf numFmtId="0" fontId="58" fillId="25" borderId="41" xfId="0" applyFont="1" applyFill="1" applyBorder="1" applyAlignment="1">
      <alignment horizontal="right" vertical="center" wrapText="1"/>
    </xf>
    <xf numFmtId="164" fontId="57" fillId="25" borderId="0" xfId="0" applyNumberFormat="1" applyFont="1" applyFill="1" applyAlignment="1">
      <alignment horizontal="right" vertical="center" wrapText="1"/>
    </xf>
    <xf numFmtId="164" fontId="57" fillId="25" borderId="40" xfId="0" applyNumberFormat="1" applyFont="1" applyFill="1" applyBorder="1" applyAlignment="1">
      <alignment horizontal="right" vertical="center" wrapText="1"/>
    </xf>
    <xf numFmtId="164" fontId="58" fillId="25" borderId="2" xfId="0" applyNumberFormat="1" applyFont="1" applyFill="1" applyBorder="1" applyAlignment="1">
      <alignment horizontal="left" vertical="center" wrapText="1"/>
    </xf>
    <xf numFmtId="164" fontId="58" fillId="25" borderId="1" xfId="0" applyNumberFormat="1" applyFont="1" applyFill="1" applyBorder="1" applyAlignment="1">
      <alignment horizontal="right" vertical="center" wrapText="1"/>
    </xf>
    <xf numFmtId="164" fontId="43" fillId="0" borderId="0" xfId="0" applyNumberFormat="1" applyFont="1" applyAlignment="1">
      <alignment horizontal="left" vertical="top"/>
    </xf>
    <xf numFmtId="0" fontId="59" fillId="15" borderId="17" xfId="0" applyFont="1" applyFill="1" applyBorder="1" applyAlignment="1">
      <alignment horizontal="center" vertical="center" wrapText="1"/>
    </xf>
    <xf numFmtId="0" fontId="60" fillId="11" borderId="8" xfId="0" applyFont="1" applyFill="1" applyBorder="1" applyAlignment="1">
      <alignment horizontal="center" vertical="center"/>
    </xf>
    <xf numFmtId="3" fontId="61" fillId="16" borderId="19" xfId="0" applyNumberFormat="1" applyFont="1" applyFill="1" applyBorder="1"/>
    <xf numFmtId="3" fontId="55" fillId="0" borderId="5" xfId="4" applyNumberFormat="1" applyFont="1" applyBorder="1"/>
    <xf numFmtId="3" fontId="62" fillId="16" borderId="19" xfId="0" applyNumberFormat="1" applyFont="1" applyFill="1" applyBorder="1"/>
    <xf numFmtId="3" fontId="62" fillId="16" borderId="20" xfId="0" applyNumberFormat="1" applyFont="1" applyFill="1" applyBorder="1"/>
    <xf numFmtId="0" fontId="60" fillId="11" borderId="10" xfId="0" applyFont="1" applyFill="1" applyBorder="1" applyAlignment="1">
      <alignment horizontal="center" vertical="center"/>
    </xf>
    <xf numFmtId="3" fontId="62" fillId="16" borderId="21" xfId="0" applyNumberFormat="1" applyFont="1" applyFill="1" applyBorder="1"/>
    <xf numFmtId="3" fontId="63" fillId="0" borderId="5" xfId="4" applyNumberFormat="1" applyFont="1" applyBorder="1"/>
    <xf numFmtId="3" fontId="61" fillId="16" borderId="21" xfId="0" applyNumberFormat="1" applyFont="1" applyFill="1" applyBorder="1"/>
    <xf numFmtId="0" fontId="60" fillId="11" borderId="15" xfId="0" applyFont="1" applyFill="1" applyBorder="1" applyAlignment="1">
      <alignment horizontal="center" vertical="center"/>
    </xf>
    <xf numFmtId="3" fontId="62" fillId="16" borderId="22" xfId="0" applyNumberFormat="1" applyFont="1" applyFill="1" applyBorder="1"/>
    <xf numFmtId="3" fontId="64" fillId="16" borderId="19" xfId="0" applyNumberFormat="1" applyFont="1" applyFill="1" applyBorder="1"/>
    <xf numFmtId="0" fontId="60" fillId="0" borderId="8" xfId="0" applyFont="1" applyBorder="1" applyAlignment="1">
      <alignment horizontal="center" vertical="center"/>
    </xf>
    <xf numFmtId="3" fontId="63" fillId="0" borderId="0" xfId="4" applyNumberFormat="1" applyFont="1"/>
    <xf numFmtId="0" fontId="65" fillId="0" borderId="0" xfId="0" applyFont="1"/>
    <xf numFmtId="4" fontId="65" fillId="0" borderId="24" xfId="0" applyNumberFormat="1" applyFont="1" applyBorder="1"/>
    <xf numFmtId="3" fontId="66" fillId="13" borderId="19" xfId="0" applyNumberFormat="1" applyFont="1" applyFill="1" applyBorder="1"/>
    <xf numFmtId="0" fontId="65" fillId="0" borderId="0" xfId="0" applyFont="1" applyAlignment="1">
      <alignment vertical="top"/>
    </xf>
    <xf numFmtId="0" fontId="66" fillId="0" borderId="18" xfId="0" applyFont="1" applyBorder="1" applyAlignment="1">
      <alignment vertical="top"/>
    </xf>
    <xf numFmtId="3" fontId="67" fillId="10" borderId="19" xfId="0" applyNumberFormat="1" applyFont="1" applyFill="1" applyBorder="1" applyAlignment="1">
      <alignment vertical="top"/>
    </xf>
    <xf numFmtId="165" fontId="65" fillId="0" borderId="0" xfId="0" applyNumberFormat="1" applyFont="1"/>
    <xf numFmtId="0" fontId="68" fillId="0" borderId="0" xfId="0" applyFont="1"/>
    <xf numFmtId="165" fontId="65" fillId="0" borderId="0" xfId="0" applyNumberFormat="1" applyFont="1" applyAlignment="1">
      <alignment horizontal="right"/>
    </xf>
    <xf numFmtId="0" fontId="65" fillId="0" borderId="0" xfId="0" applyFont="1" applyAlignment="1">
      <alignment horizontal="right"/>
    </xf>
    <xf numFmtId="3" fontId="65" fillId="0" borderId="0" xfId="0" applyNumberFormat="1" applyFont="1"/>
    <xf numFmtId="0" fontId="64" fillId="27" borderId="18" xfId="0" applyFont="1" applyFill="1" applyBorder="1" applyAlignment="1">
      <alignment horizontal="right"/>
    </xf>
    <xf numFmtId="14" fontId="64" fillId="27" borderId="42" xfId="0" applyNumberFormat="1" applyFont="1" applyFill="1" applyBorder="1"/>
    <xf numFmtId="0" fontId="64" fillId="0" borderId="0" xfId="0" applyFont="1"/>
    <xf numFmtId="166" fontId="55" fillId="0" borderId="0" xfId="7" applyNumberFormat="1" applyFont="1"/>
    <xf numFmtId="9" fontId="55" fillId="0" borderId="0" xfId="0" applyNumberFormat="1" applyFont="1"/>
    <xf numFmtId="0" fontId="69" fillId="0" borderId="0" xfId="0" applyFont="1"/>
    <xf numFmtId="166" fontId="70" fillId="0" borderId="0" xfId="7" applyNumberFormat="1" applyFont="1"/>
    <xf numFmtId="9" fontId="69" fillId="0" borderId="0" xfId="1" applyFont="1"/>
    <xf numFmtId="3" fontId="59" fillId="10" borderId="8" xfId="0" applyNumberFormat="1" applyFont="1" applyFill="1" applyBorder="1" applyAlignment="1">
      <alignment horizontal="center" vertical="center" wrapText="1"/>
    </xf>
    <xf numFmtId="3" fontId="43" fillId="0" borderId="0" xfId="0" applyNumberFormat="1" applyFont="1" applyAlignment="1">
      <alignment horizontal="right" vertical="center" shrinkToFit="1"/>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7" fillId="3" borderId="43" xfId="0" applyFont="1" applyFill="1" applyBorder="1" applyAlignment="1">
      <alignment horizontal="left" vertical="center" wrapText="1"/>
    </xf>
    <xf numFmtId="0" fontId="6" fillId="4" borderId="44" xfId="0" applyFont="1" applyFill="1" applyBorder="1" applyAlignment="1">
      <alignment horizontal="center" vertical="center" wrapText="1"/>
    </xf>
    <xf numFmtId="0" fontId="6" fillId="5" borderId="26" xfId="0" applyFont="1" applyFill="1" applyBorder="1" applyAlignment="1">
      <alignment horizontal="left" vertical="center" wrapText="1"/>
    </xf>
    <xf numFmtId="0" fontId="6" fillId="6" borderId="32" xfId="0" applyFont="1" applyFill="1" applyBorder="1" applyAlignment="1">
      <alignment horizontal="left" vertical="center" wrapText="1"/>
    </xf>
    <xf numFmtId="3" fontId="43" fillId="0" borderId="5" xfId="0" applyNumberFormat="1" applyFont="1" applyBorder="1" applyAlignment="1">
      <alignment horizontal="right" vertical="center" shrinkToFit="1"/>
    </xf>
    <xf numFmtId="0" fontId="0" fillId="28" borderId="0" xfId="0" applyFill="1" applyAlignment="1">
      <alignment horizontal="left" vertical="top"/>
    </xf>
    <xf numFmtId="3" fontId="17" fillId="28" borderId="0" xfId="0" applyNumberFormat="1" applyFont="1" applyFill="1" applyAlignment="1">
      <alignment horizontal="left" vertical="center"/>
    </xf>
    <xf numFmtId="3" fontId="55" fillId="28" borderId="27" xfId="4" applyNumberFormat="1" applyFont="1" applyFill="1" applyBorder="1"/>
    <xf numFmtId="3" fontId="17" fillId="29" borderId="0" xfId="0" applyNumberFormat="1" applyFont="1" applyFill="1" applyAlignment="1">
      <alignment horizontal="left" vertical="center"/>
    </xf>
    <xf numFmtId="3" fontId="55" fillId="29" borderId="27" xfId="4" applyNumberFormat="1" applyFont="1" applyFill="1" applyBorder="1"/>
    <xf numFmtId="0" fontId="0" fillId="29" borderId="0" xfId="0" applyFill="1" applyAlignment="1">
      <alignment horizontal="left" vertical="top"/>
    </xf>
    <xf numFmtId="0" fontId="65" fillId="0" borderId="0" xfId="0" applyFont="1" applyAlignment="1">
      <alignment wrapText="1"/>
    </xf>
    <xf numFmtId="0" fontId="30" fillId="0" borderId="5" xfId="0" applyFont="1" applyBorder="1" applyAlignment="1">
      <alignment vertical="center"/>
    </xf>
    <xf numFmtId="0" fontId="30" fillId="17" borderId="27" xfId="0" applyFont="1" applyFill="1" applyBorder="1" applyAlignment="1">
      <alignment horizontal="right" vertical="center"/>
    </xf>
    <xf numFmtId="0" fontId="30" fillId="18" borderId="27" xfId="0" applyFont="1" applyFill="1" applyBorder="1" applyAlignment="1">
      <alignment horizontal="right" vertical="center"/>
    </xf>
    <xf numFmtId="0" fontId="30" fillId="30" borderId="27" xfId="0" applyFont="1" applyFill="1" applyBorder="1" applyAlignment="1">
      <alignment horizontal="right" vertical="center"/>
    </xf>
    <xf numFmtId="0" fontId="30" fillId="30" borderId="16" xfId="0" applyFont="1" applyFill="1" applyBorder="1" applyAlignment="1">
      <alignment horizontal="right" vertical="center"/>
    </xf>
    <xf numFmtId="0" fontId="30" fillId="30" borderId="28" xfId="0" applyFont="1" applyFill="1" applyBorder="1" applyAlignment="1">
      <alignment horizontal="right" vertical="center"/>
    </xf>
    <xf numFmtId="169" fontId="0" fillId="0" borderId="5" xfId="0" applyNumberFormat="1" applyBorder="1" applyAlignment="1">
      <alignment horizontal="right" vertical="center" wrapText="1"/>
    </xf>
    <xf numFmtId="0" fontId="35" fillId="19" borderId="5" xfId="0" applyFont="1" applyFill="1" applyBorder="1" applyAlignment="1">
      <alignment horizontal="center" vertical="center"/>
    </xf>
    <xf numFmtId="3" fontId="35" fillId="19" borderId="23" xfId="0" applyNumberFormat="1" applyFont="1" applyFill="1" applyBorder="1" applyAlignment="1">
      <alignment horizontal="right" vertical="center" wrapText="1"/>
    </xf>
    <xf numFmtId="3" fontId="35" fillId="19" borderId="5" xfId="0" applyNumberFormat="1" applyFont="1" applyFill="1" applyBorder="1" applyAlignment="1">
      <alignment horizontal="right" vertical="center" wrapText="1"/>
    </xf>
    <xf numFmtId="3" fontId="35" fillId="19" borderId="27" xfId="0" applyNumberFormat="1" applyFont="1" applyFill="1" applyBorder="1" applyAlignment="1">
      <alignment horizontal="right" vertical="center" wrapText="1"/>
    </xf>
    <xf numFmtId="169" fontId="0" fillId="0" borderId="5" xfId="0" applyNumberFormat="1" applyBorder="1" applyAlignment="1">
      <alignment horizontal="right"/>
    </xf>
    <xf numFmtId="0" fontId="35" fillId="11" borderId="5" xfId="0" applyFont="1" applyFill="1" applyBorder="1" applyAlignment="1">
      <alignment horizontal="center" vertical="center"/>
    </xf>
    <xf numFmtId="3" fontId="35" fillId="11" borderId="27" xfId="0" applyNumberFormat="1" applyFont="1" applyFill="1" applyBorder="1" applyAlignment="1">
      <alignment horizontal="right" vertical="center"/>
    </xf>
    <xf numFmtId="3" fontId="35" fillId="11" borderId="5" xfId="0" applyNumberFormat="1" applyFont="1" applyFill="1" applyBorder="1" applyAlignment="1">
      <alignment horizontal="right" vertical="center"/>
    </xf>
    <xf numFmtId="169" fontId="35" fillId="11" borderId="5" xfId="0" applyNumberFormat="1" applyFont="1" applyFill="1" applyBorder="1" applyAlignment="1">
      <alignment horizontal="right" vertical="center"/>
    </xf>
    <xf numFmtId="0" fontId="36" fillId="20" borderId="5" xfId="0" applyFont="1" applyFill="1" applyBorder="1"/>
    <xf numFmtId="3" fontId="0" fillId="0" borderId="5" xfId="0" applyNumberFormat="1" applyBorder="1" applyAlignment="1">
      <alignment horizontal="right"/>
    </xf>
    <xf numFmtId="3" fontId="30" fillId="0" borderId="5" xfId="0" applyNumberFormat="1" applyFont="1" applyBorder="1" applyAlignment="1">
      <alignment horizontal="right"/>
    </xf>
    <xf numFmtId="3" fontId="12" fillId="0" borderId="5" xfId="0" applyNumberFormat="1" applyFont="1" applyBorder="1" applyAlignment="1">
      <alignment horizontal="right"/>
    </xf>
    <xf numFmtId="3" fontId="12" fillId="0" borderId="27" xfId="0" applyNumberFormat="1" applyFont="1" applyBorder="1" applyAlignment="1">
      <alignment horizontal="right"/>
    </xf>
    <xf numFmtId="0" fontId="36" fillId="0" borderId="5" xfId="0" applyFont="1" applyBorder="1"/>
    <xf numFmtId="3" fontId="36" fillId="0" borderId="5" xfId="0" applyNumberFormat="1" applyFont="1" applyBorder="1" applyAlignment="1">
      <alignment horizontal="right"/>
    </xf>
    <xf numFmtId="3" fontId="36" fillId="0" borderId="27" xfId="0" applyNumberFormat="1" applyFont="1" applyBorder="1" applyAlignment="1">
      <alignment horizontal="right"/>
    </xf>
    <xf numFmtId="3" fontId="0" fillId="21" borderId="5" xfId="0" applyNumberFormat="1" applyFill="1" applyBorder="1" applyAlignment="1">
      <alignment horizontal="right"/>
    </xf>
    <xf numFmtId="3" fontId="36" fillId="0" borderId="5" xfId="0" applyNumberFormat="1" applyFont="1" applyBorder="1" applyAlignment="1">
      <alignment horizontal="left"/>
    </xf>
    <xf numFmtId="3" fontId="36" fillId="0" borderId="5" xfId="0" applyNumberFormat="1" applyFont="1" applyBorder="1"/>
    <xf numFmtId="3" fontId="36" fillId="21" borderId="5" xfId="0" applyNumberFormat="1" applyFont="1" applyFill="1" applyBorder="1" applyAlignment="1">
      <alignment horizontal="right"/>
    </xf>
    <xf numFmtId="3" fontId="36" fillId="20" borderId="5" xfId="0" applyNumberFormat="1" applyFont="1" applyFill="1" applyBorder="1"/>
    <xf numFmtId="3" fontId="30" fillId="21" borderId="5" xfId="0" applyNumberFormat="1" applyFont="1" applyFill="1" applyBorder="1" applyAlignment="1">
      <alignment horizontal="right"/>
    </xf>
    <xf numFmtId="3" fontId="36" fillId="20" borderId="5" xfId="0" applyNumberFormat="1" applyFont="1" applyFill="1" applyBorder="1" applyAlignment="1">
      <alignment horizontal="left"/>
    </xf>
    <xf numFmtId="0" fontId="36" fillId="20" borderId="5" xfId="0" applyFont="1" applyFill="1" applyBorder="1" applyAlignment="1">
      <alignment horizontal="left"/>
    </xf>
    <xf numFmtId="3" fontId="36" fillId="0" borderId="5" xfId="0" applyNumberFormat="1" applyFont="1" applyBorder="1" applyAlignment="1">
      <alignment horizontal="left" vertical="center"/>
    </xf>
    <xf numFmtId="3" fontId="0" fillId="0" borderId="5" xfId="0" applyNumberFormat="1" applyBorder="1" applyAlignment="1">
      <alignment horizontal="right" vertical="center"/>
    </xf>
    <xf numFmtId="3" fontId="36" fillId="0" borderId="5" xfId="0" applyNumberFormat="1" applyFont="1" applyBorder="1" applyAlignment="1">
      <alignment horizontal="right" vertical="center"/>
    </xf>
    <xf numFmtId="3" fontId="30" fillId="0" borderId="5" xfId="0" applyNumberFormat="1" applyFont="1" applyBorder="1" applyAlignment="1">
      <alignment horizontal="right" vertical="center"/>
    </xf>
    <xf numFmtId="3" fontId="36" fillId="0" borderId="27" xfId="0" applyNumberFormat="1" applyFont="1" applyBorder="1" applyAlignment="1">
      <alignment horizontal="right" vertical="center"/>
    </xf>
    <xf numFmtId="3" fontId="30" fillId="21" borderId="5" xfId="0" applyNumberFormat="1" applyFont="1" applyFill="1" applyBorder="1" applyAlignment="1">
      <alignment horizontal="right" vertical="center"/>
    </xf>
    <xf numFmtId="169" fontId="0" fillId="0" borderId="5" xfId="0" applyNumberFormat="1" applyBorder="1" applyAlignment="1">
      <alignment horizontal="right" vertical="center"/>
    </xf>
    <xf numFmtId="14" fontId="36" fillId="20" borderId="5" xfId="0" applyNumberFormat="1" applyFont="1" applyFill="1" applyBorder="1"/>
    <xf numFmtId="14" fontId="36" fillId="0" borderId="5" xfId="0" applyNumberFormat="1" applyFont="1" applyBorder="1"/>
    <xf numFmtId="0" fontId="36" fillId="0" borderId="5" xfId="0" applyFont="1" applyBorder="1" applyAlignment="1">
      <alignment horizontal="left"/>
    </xf>
    <xf numFmtId="3" fontId="12" fillId="0" borderId="5" xfId="0" applyNumberFormat="1" applyFont="1" applyBorder="1" applyAlignment="1">
      <alignment horizontal="right" vertical="center"/>
    </xf>
    <xf numFmtId="3" fontId="12" fillId="0" borderId="27" xfId="0" applyNumberFormat="1" applyFont="1" applyBorder="1" applyAlignment="1">
      <alignment horizontal="right" vertical="center"/>
    </xf>
    <xf numFmtId="14" fontId="30" fillId="0" borderId="5" xfId="0" applyNumberFormat="1" applyFont="1" applyBorder="1" applyAlignment="1">
      <alignment vertical="center"/>
    </xf>
    <xf numFmtId="3" fontId="11" fillId="12" borderId="5" xfId="0" applyNumberFormat="1" applyFont="1" applyFill="1" applyBorder="1"/>
    <xf numFmtId="3" fontId="11" fillId="12" borderId="5" xfId="0" applyNumberFormat="1" applyFont="1" applyFill="1" applyBorder="1" applyAlignment="1">
      <alignment horizontal="right"/>
    </xf>
    <xf numFmtId="3" fontId="11" fillId="12" borderId="27" xfId="0" applyNumberFormat="1" applyFont="1" applyFill="1" applyBorder="1" applyAlignment="1">
      <alignment horizontal="right"/>
    </xf>
    <xf numFmtId="169" fontId="11" fillId="12" borderId="5" xfId="0" applyNumberFormat="1" applyFont="1" applyFill="1" applyBorder="1" applyAlignment="1">
      <alignment horizontal="right"/>
    </xf>
    <xf numFmtId="0" fontId="30" fillId="0" borderId="5" xfId="0" applyFont="1" applyBorder="1"/>
    <xf numFmtId="4" fontId="12" fillId="0" borderId="5" xfId="0" applyNumberFormat="1" applyFont="1" applyBorder="1" applyAlignment="1">
      <alignment horizontal="right"/>
    </xf>
    <xf numFmtId="4" fontId="30" fillId="0" borderId="5" xfId="0" applyNumberFormat="1" applyFont="1" applyBorder="1" applyAlignment="1">
      <alignment horizontal="right"/>
    </xf>
    <xf numFmtId="4" fontId="12" fillId="0" borderId="27" xfId="0" applyNumberFormat="1" applyFont="1" applyBorder="1" applyAlignment="1">
      <alignment horizontal="right"/>
    </xf>
    <xf numFmtId="3" fontId="38" fillId="11" borderId="5" xfId="0" applyNumberFormat="1" applyFont="1" applyFill="1" applyBorder="1" applyAlignment="1">
      <alignment horizontal="right" vertical="center"/>
    </xf>
    <xf numFmtId="4" fontId="38" fillId="11" borderId="5" xfId="0" applyNumberFormat="1" applyFont="1" applyFill="1" applyBorder="1" applyAlignment="1">
      <alignment horizontal="right" vertical="center"/>
    </xf>
    <xf numFmtId="4" fontId="38" fillId="11" borderId="27" xfId="0" applyNumberFormat="1" applyFont="1" applyFill="1" applyBorder="1" applyAlignment="1">
      <alignment horizontal="right" vertical="center"/>
    </xf>
    <xf numFmtId="0" fontId="30" fillId="0" borderId="0" xfId="0" applyFont="1"/>
    <xf numFmtId="3" fontId="0" fillId="0" borderId="0" xfId="0" applyNumberFormat="1" applyAlignment="1">
      <alignment horizontal="right"/>
    </xf>
    <xf numFmtId="3" fontId="12" fillId="0" borderId="0" xfId="0" applyNumberFormat="1" applyFont="1" applyAlignment="1">
      <alignment horizontal="right"/>
    </xf>
    <xf numFmtId="3" fontId="30" fillId="0" borderId="0" xfId="0" applyNumberFormat="1" applyFont="1" applyAlignment="1">
      <alignment horizontal="right"/>
    </xf>
    <xf numFmtId="3" fontId="38" fillId="0" borderId="0" xfId="0" applyNumberFormat="1" applyFont="1" applyAlignment="1">
      <alignment horizontal="right"/>
    </xf>
    <xf numFmtId="169" fontId="0" fillId="0" borderId="0" xfId="0" applyNumberFormat="1" applyAlignment="1">
      <alignment horizontal="right"/>
    </xf>
    <xf numFmtId="0" fontId="35" fillId="0" borderId="0" xfId="0" applyFont="1"/>
    <xf numFmtId="3" fontId="35" fillId="21" borderId="5" xfId="0" applyNumberFormat="1" applyFont="1" applyFill="1" applyBorder="1" applyAlignment="1">
      <alignment horizontal="right"/>
    </xf>
    <xf numFmtId="3" fontId="38" fillId="0" borderId="0" xfId="0" applyNumberFormat="1" applyFont="1" applyAlignment="1">
      <alignment horizontal="left"/>
    </xf>
    <xf numFmtId="3" fontId="35" fillId="0" borderId="0" xfId="0" applyNumberFormat="1" applyFont="1" applyAlignment="1">
      <alignment horizontal="right"/>
    </xf>
    <xf numFmtId="3" fontId="35" fillId="22" borderId="5" xfId="0" applyNumberFormat="1" applyFont="1" applyFill="1" applyBorder="1" applyAlignment="1">
      <alignment vertical="center"/>
    </xf>
    <xf numFmtId="3" fontId="35" fillId="22" borderId="5" xfId="0" applyNumberFormat="1" applyFont="1" applyFill="1" applyBorder="1" applyAlignment="1">
      <alignment horizontal="right" vertical="center"/>
    </xf>
    <xf numFmtId="0" fontId="30" fillId="0" borderId="0" xfId="0" applyFont="1" applyAlignment="1">
      <alignment horizontal="right"/>
    </xf>
    <xf numFmtId="0" fontId="35" fillId="22" borderId="5" xfId="0" applyFont="1" applyFill="1" applyBorder="1" applyAlignment="1">
      <alignment horizontal="left" vertical="center"/>
    </xf>
    <xf numFmtId="0" fontId="12" fillId="0" borderId="0" xfId="0" applyFont="1" applyAlignment="1">
      <alignment horizontal="right"/>
    </xf>
    <xf numFmtId="0" fontId="71" fillId="0" borderId="0" xfId="0" applyFont="1" applyAlignment="1">
      <alignment vertical="center"/>
    </xf>
    <xf numFmtId="0" fontId="35" fillId="23" borderId="5" xfId="0" applyFont="1" applyFill="1" applyBorder="1" applyAlignment="1">
      <alignment horizontal="right" vertical="center"/>
    </xf>
    <xf numFmtId="0" fontId="35" fillId="23" borderId="5" xfId="0" applyFont="1" applyFill="1" applyBorder="1" applyAlignment="1">
      <alignment horizontal="right" vertical="center" wrapText="1"/>
    </xf>
    <xf numFmtId="165" fontId="13" fillId="23" borderId="5" xfId="7" applyFont="1" applyFill="1" applyBorder="1" applyAlignment="1">
      <alignment horizontal="right" vertical="center"/>
    </xf>
    <xf numFmtId="0" fontId="38" fillId="31" borderId="45" xfId="0" applyFont="1" applyFill="1" applyBorder="1"/>
    <xf numFmtId="3" fontId="38" fillId="31" borderId="46" xfId="0" applyNumberFormat="1" applyFont="1" applyFill="1" applyBorder="1" applyAlignment="1">
      <alignment horizontal="right"/>
    </xf>
    <xf numFmtId="0" fontId="35" fillId="0" borderId="5" xfId="0" applyFont="1" applyBorder="1" applyAlignment="1">
      <alignment horizontal="right"/>
    </xf>
    <xf numFmtId="0" fontId="30" fillId="0" borderId="5" xfId="0" applyFont="1" applyBorder="1" applyAlignment="1">
      <alignment horizontal="right"/>
    </xf>
    <xf numFmtId="165" fontId="30" fillId="0" borderId="5" xfId="7" applyFont="1" applyBorder="1" applyAlignment="1">
      <alignment horizontal="right" vertical="center"/>
    </xf>
    <xf numFmtId="3" fontId="0" fillId="0" borderId="5" xfId="7" applyNumberFormat="1" applyFont="1" applyBorder="1" applyAlignment="1">
      <alignment horizontal="right"/>
    </xf>
    <xf numFmtId="0" fontId="30" fillId="31" borderId="47" xfId="0" applyFont="1" applyFill="1" applyBorder="1"/>
    <xf numFmtId="3" fontId="30" fillId="31" borderId="24" xfId="0" applyNumberFormat="1" applyFont="1" applyFill="1" applyBorder="1"/>
    <xf numFmtId="0" fontId="30" fillId="31" borderId="47" xfId="0" quotePrefix="1" applyFont="1" applyFill="1" applyBorder="1"/>
    <xf numFmtId="0" fontId="30" fillId="31" borderId="24" xfId="0" applyFont="1" applyFill="1" applyBorder="1"/>
    <xf numFmtId="3" fontId="13" fillId="23" borderId="5" xfId="7" applyNumberFormat="1" applyFont="1" applyFill="1" applyBorder="1" applyAlignment="1">
      <alignment horizontal="right"/>
    </xf>
    <xf numFmtId="0" fontId="38" fillId="31" borderId="48" xfId="0" applyFont="1" applyFill="1" applyBorder="1"/>
    <xf numFmtId="3" fontId="38" fillId="31" borderId="49" xfId="0" applyNumberFormat="1" applyFont="1" applyFill="1" applyBorder="1"/>
    <xf numFmtId="0" fontId="12" fillId="0" borderId="0" xfId="0" applyFont="1"/>
    <xf numFmtId="169" fontId="0" fillId="0" borderId="0" xfId="0" applyNumberFormat="1"/>
    <xf numFmtId="165" fontId="13" fillId="23" borderId="5" xfId="7" applyFont="1" applyFill="1" applyBorder="1" applyAlignment="1">
      <alignment horizontal="right" vertical="center" wrapText="1"/>
    </xf>
    <xf numFmtId="169" fontId="12" fillId="0" borderId="0" xfId="0" applyNumberFormat="1" applyFont="1"/>
    <xf numFmtId="165" fontId="30" fillId="21" borderId="5" xfId="7" applyFont="1" applyFill="1" applyBorder="1" applyAlignment="1">
      <alignment horizontal="right" vertical="center"/>
    </xf>
    <xf numFmtId="165" fontId="13" fillId="23" borderId="29" xfId="7" applyFont="1" applyFill="1" applyBorder="1" applyAlignment="1">
      <alignment horizontal="right" vertical="center"/>
    </xf>
    <xf numFmtId="0" fontId="35" fillId="23" borderId="29" xfId="0" applyFont="1" applyFill="1" applyBorder="1" applyAlignment="1">
      <alignment horizontal="right" vertical="center" wrapText="1"/>
    </xf>
    <xf numFmtId="0" fontId="0" fillId="0" borderId="3" xfId="0" applyBorder="1" applyAlignment="1">
      <alignment horizontal="right"/>
    </xf>
    <xf numFmtId="4" fontId="0" fillId="0" borderId="0" xfId="0" applyNumberFormat="1" applyAlignment="1">
      <alignment horizontal="right"/>
    </xf>
    <xf numFmtId="0" fontId="12" fillId="0" borderId="0" xfId="0" applyFont="1" applyAlignment="1">
      <alignment horizontal="left"/>
    </xf>
    <xf numFmtId="0" fontId="72" fillId="0" borderId="0" xfId="0" applyFont="1" applyAlignment="1">
      <alignment horizontal="left" vertical="top"/>
    </xf>
    <xf numFmtId="0" fontId="74" fillId="0" borderId="0" xfId="0" applyFont="1" applyAlignment="1">
      <alignment horizontal="left" vertical="center"/>
    </xf>
    <xf numFmtId="0" fontId="75" fillId="7" borderId="3" xfId="0" applyFont="1" applyFill="1" applyBorder="1" applyAlignment="1">
      <alignment horizontal="left" vertical="center" wrapText="1"/>
    </xf>
    <xf numFmtId="3" fontId="76" fillId="7" borderId="3" xfId="0" applyNumberFormat="1" applyFont="1" applyFill="1" applyBorder="1" applyAlignment="1">
      <alignment horizontal="right" vertical="center" shrinkToFit="1"/>
    </xf>
    <xf numFmtId="3" fontId="76" fillId="7" borderId="26" xfId="0" applyNumberFormat="1" applyFont="1" applyFill="1" applyBorder="1" applyAlignment="1">
      <alignment horizontal="right" vertical="center" shrinkToFit="1"/>
    </xf>
    <xf numFmtId="0" fontId="77" fillId="0" borderId="3" xfId="0" applyFont="1" applyBorder="1" applyAlignment="1">
      <alignment horizontal="left" vertical="center" wrapText="1"/>
    </xf>
    <xf numFmtId="3" fontId="74" fillId="0" borderId="3" xfId="0" applyNumberFormat="1" applyFont="1" applyBorder="1" applyAlignment="1">
      <alignment horizontal="right" vertical="center" shrinkToFit="1"/>
    </xf>
    <xf numFmtId="3" fontId="74" fillId="0" borderId="5" xfId="0" applyNumberFormat="1" applyFont="1" applyBorder="1" applyAlignment="1">
      <alignment horizontal="right" vertical="center"/>
    </xf>
    <xf numFmtId="1" fontId="74" fillId="0" borderId="3" xfId="0" applyNumberFormat="1" applyFont="1" applyBorder="1" applyAlignment="1">
      <alignment horizontal="right" vertical="center" shrinkToFit="1"/>
    </xf>
    <xf numFmtId="0" fontId="74" fillId="0" borderId="3" xfId="0" applyFont="1" applyBorder="1" applyAlignment="1">
      <alignment horizontal="left" vertical="center" wrapText="1"/>
    </xf>
    <xf numFmtId="0" fontId="77" fillId="0" borderId="0" xfId="0" applyFont="1" applyAlignment="1">
      <alignment horizontal="left" vertical="center"/>
    </xf>
    <xf numFmtId="0" fontId="74" fillId="0" borderId="0" xfId="0" quotePrefix="1" applyFont="1" applyAlignment="1">
      <alignment horizontal="left" vertical="center"/>
    </xf>
    <xf numFmtId="0" fontId="73" fillId="0" borderId="0" xfId="0" applyFont="1" applyAlignment="1">
      <alignment horizontal="left" vertical="center"/>
    </xf>
    <xf numFmtId="1" fontId="76" fillId="7" borderId="3" xfId="0" applyNumberFormat="1" applyFont="1" applyFill="1" applyBorder="1" applyAlignment="1">
      <alignment horizontal="right" vertical="center" shrinkToFit="1"/>
    </xf>
    <xf numFmtId="3" fontId="74" fillId="0" borderId="3" xfId="0" applyNumberFormat="1" applyFont="1" applyBorder="1" applyAlignment="1">
      <alignment horizontal="left" vertical="center" wrapText="1"/>
    </xf>
    <xf numFmtId="3" fontId="78" fillId="0" borderId="3" xfId="0" applyNumberFormat="1" applyFont="1" applyBorder="1" applyAlignment="1">
      <alignment horizontal="right" vertical="center" shrinkToFit="1"/>
    </xf>
    <xf numFmtId="10" fontId="74" fillId="0" borderId="34" xfId="1" applyNumberFormat="1" applyFont="1" applyBorder="1" applyAlignment="1">
      <alignment horizontal="right" vertical="center"/>
    </xf>
    <xf numFmtId="0" fontId="75" fillId="8" borderId="3" xfId="0" applyFont="1" applyFill="1" applyBorder="1" applyAlignment="1">
      <alignment horizontal="left" vertical="center" wrapText="1"/>
    </xf>
    <xf numFmtId="3" fontId="75" fillId="8" borderId="3" xfId="0" applyNumberFormat="1" applyFont="1" applyFill="1" applyBorder="1" applyAlignment="1">
      <alignment horizontal="right" vertical="center" wrapText="1"/>
    </xf>
    <xf numFmtId="3" fontId="79" fillId="8" borderId="3" xfId="0" applyNumberFormat="1" applyFont="1" applyFill="1" applyBorder="1" applyAlignment="1">
      <alignment horizontal="right" vertical="center" wrapText="1"/>
    </xf>
    <xf numFmtId="3" fontId="75" fillId="8" borderId="4" xfId="0" applyNumberFormat="1" applyFont="1" applyFill="1" applyBorder="1" applyAlignment="1">
      <alignment horizontal="right" vertical="center" wrapText="1"/>
    </xf>
    <xf numFmtId="3" fontId="74" fillId="0" borderId="50" xfId="0" applyNumberFormat="1" applyFont="1" applyBorder="1" applyAlignment="1">
      <alignment horizontal="right" vertical="center" shrinkToFit="1"/>
    </xf>
    <xf numFmtId="3" fontId="74" fillId="0" borderId="0" xfId="0" applyNumberFormat="1" applyFont="1" applyAlignment="1">
      <alignment horizontal="right" vertical="center"/>
    </xf>
    <xf numFmtId="3" fontId="74" fillId="0" borderId="3" xfId="0" applyNumberFormat="1" applyFont="1" applyBorder="1" applyAlignment="1">
      <alignment horizontal="left" vertical="center" shrinkToFit="1"/>
    </xf>
    <xf numFmtId="10" fontId="74" fillId="0" borderId="0" xfId="0" applyNumberFormat="1" applyFont="1" applyAlignment="1">
      <alignment horizontal="left" vertical="center"/>
    </xf>
    <xf numFmtId="3" fontId="74" fillId="0" borderId="7" xfId="0" applyNumberFormat="1" applyFont="1" applyBorder="1" applyAlignment="1">
      <alignment horizontal="right" vertical="center" shrinkToFit="1"/>
    </xf>
    <xf numFmtId="0" fontId="75" fillId="3" borderId="54" xfId="0" applyFont="1" applyFill="1" applyBorder="1" applyAlignment="1">
      <alignment horizontal="right" vertical="center" wrapText="1"/>
    </xf>
    <xf numFmtId="3" fontId="76" fillId="7" borderId="54" xfId="0" applyNumberFormat="1" applyFont="1" applyFill="1" applyBorder="1" applyAlignment="1">
      <alignment horizontal="right" vertical="center" shrinkToFit="1"/>
    </xf>
    <xf numFmtId="3" fontId="76" fillId="7" borderId="56" xfId="0" applyNumberFormat="1" applyFont="1" applyFill="1" applyBorder="1" applyAlignment="1">
      <alignment horizontal="right" vertical="center" shrinkToFit="1"/>
    </xf>
    <xf numFmtId="3" fontId="74" fillId="0" borderId="54" xfId="0" applyNumberFormat="1" applyFont="1" applyBorder="1" applyAlignment="1">
      <alignment horizontal="right" vertical="center" shrinkToFit="1"/>
    </xf>
    <xf numFmtId="3" fontId="74" fillId="0" borderId="57" xfId="0" applyNumberFormat="1" applyFont="1" applyBorder="1" applyAlignment="1">
      <alignment horizontal="right" vertical="center"/>
    </xf>
    <xf numFmtId="1" fontId="74" fillId="0" borderId="54" xfId="0" applyNumberFormat="1" applyFont="1" applyBorder="1" applyAlignment="1">
      <alignment horizontal="right" vertical="center" shrinkToFit="1"/>
    </xf>
    <xf numFmtId="0" fontId="74" fillId="0" borderId="54" xfId="0" applyFont="1" applyBorder="1" applyAlignment="1">
      <alignment horizontal="left" vertical="center" wrapText="1"/>
    </xf>
    <xf numFmtId="3" fontId="76" fillId="7" borderId="55" xfId="0" applyNumberFormat="1" applyFont="1" applyFill="1" applyBorder="1" applyAlignment="1">
      <alignment horizontal="right" vertical="center" shrinkToFit="1"/>
    </xf>
    <xf numFmtId="3" fontId="74" fillId="0" borderId="55" xfId="0" applyNumberFormat="1" applyFont="1" applyBorder="1" applyAlignment="1">
      <alignment horizontal="right" vertical="center" shrinkToFit="1"/>
    </xf>
    <xf numFmtId="1" fontId="74" fillId="0" borderId="55" xfId="0" applyNumberFormat="1" applyFont="1" applyBorder="1" applyAlignment="1">
      <alignment horizontal="right" vertical="center" shrinkToFit="1"/>
    </xf>
    <xf numFmtId="0" fontId="74" fillId="0" borderId="55" xfId="0" applyFont="1" applyBorder="1" applyAlignment="1">
      <alignment horizontal="left" vertical="center" wrapText="1"/>
    </xf>
    <xf numFmtId="3" fontId="75" fillId="8" borderId="58" xfId="0" applyNumberFormat="1" applyFont="1" applyFill="1" applyBorder="1" applyAlignment="1">
      <alignment horizontal="right" vertical="center" wrapText="1"/>
    </xf>
    <xf numFmtId="3" fontId="79" fillId="8" borderId="59" xfId="0" applyNumberFormat="1" applyFont="1" applyFill="1" applyBorder="1" applyAlignment="1">
      <alignment horizontal="right" vertical="center" wrapText="1"/>
    </xf>
    <xf numFmtId="3" fontId="75" fillId="8" borderId="59" xfId="0" applyNumberFormat="1" applyFont="1" applyFill="1" applyBorder="1" applyAlignment="1">
      <alignment horizontal="right" vertical="center" wrapText="1"/>
    </xf>
    <xf numFmtId="3" fontId="75" fillId="8" borderId="60" xfId="0" applyNumberFormat="1" applyFont="1" applyFill="1" applyBorder="1" applyAlignment="1">
      <alignment horizontal="right" vertical="center" wrapText="1"/>
    </xf>
    <xf numFmtId="10" fontId="74" fillId="0" borderId="24" xfId="1" applyNumberFormat="1" applyFont="1" applyBorder="1" applyAlignment="1">
      <alignment horizontal="right" vertical="center"/>
    </xf>
    <xf numFmtId="1" fontId="76" fillId="7" borderId="55" xfId="0" applyNumberFormat="1" applyFont="1" applyFill="1" applyBorder="1" applyAlignment="1">
      <alignment horizontal="right" vertical="center" shrinkToFit="1"/>
    </xf>
    <xf numFmtId="0" fontId="74" fillId="4" borderId="3" xfId="0" applyFont="1" applyFill="1" applyBorder="1" applyAlignment="1">
      <alignment horizontal="right" vertical="center" wrapText="1"/>
    </xf>
    <xf numFmtId="0" fontId="74" fillId="5" borderId="3" xfId="0" applyFont="1" applyFill="1" applyBorder="1" applyAlignment="1">
      <alignment horizontal="right" vertical="center" wrapText="1"/>
    </xf>
    <xf numFmtId="0" fontId="74" fillId="6" borderId="55" xfId="0" applyFont="1" applyFill="1" applyBorder="1" applyAlignment="1">
      <alignment horizontal="right" vertical="center" wrapText="1"/>
    </xf>
    <xf numFmtId="3" fontId="76" fillId="7" borderId="61" xfId="0" applyNumberFormat="1" applyFont="1" applyFill="1" applyBorder="1" applyAlignment="1">
      <alignment horizontal="right" vertical="center" shrinkToFit="1"/>
    </xf>
    <xf numFmtId="3" fontId="76" fillId="7" borderId="62" xfId="0" applyNumberFormat="1" applyFont="1" applyFill="1" applyBorder="1" applyAlignment="1">
      <alignment horizontal="right" vertical="center" shrinkToFit="1"/>
    </xf>
    <xf numFmtId="3" fontId="76" fillId="7" borderId="63" xfId="0" applyNumberFormat="1" applyFont="1" applyFill="1" applyBorder="1" applyAlignment="1">
      <alignment horizontal="right" vertical="center" shrinkToFit="1"/>
    </xf>
    <xf numFmtId="3" fontId="74" fillId="0" borderId="64" xfId="0" applyNumberFormat="1" applyFont="1" applyBorder="1" applyAlignment="1">
      <alignment horizontal="right" vertical="center" shrinkToFit="1"/>
    </xf>
    <xf numFmtId="3" fontId="74" fillId="0" borderId="65" xfId="0" applyNumberFormat="1" applyFont="1" applyBorder="1" applyAlignment="1">
      <alignment horizontal="right" vertical="center" shrinkToFit="1"/>
    </xf>
    <xf numFmtId="3" fontId="74" fillId="0" borderId="24" xfId="0" applyNumberFormat="1" applyFont="1" applyBorder="1" applyAlignment="1">
      <alignment horizontal="right" vertical="center"/>
    </xf>
    <xf numFmtId="3" fontId="75" fillId="8" borderId="66" xfId="0" applyNumberFormat="1" applyFont="1" applyFill="1" applyBorder="1" applyAlignment="1">
      <alignment horizontal="right" vertical="center" wrapText="1"/>
    </xf>
    <xf numFmtId="3" fontId="75" fillId="8" borderId="67" xfId="0" applyNumberFormat="1" applyFont="1" applyFill="1" applyBorder="1" applyAlignment="1">
      <alignment horizontal="right" vertical="center" wrapText="1"/>
    </xf>
    <xf numFmtId="9" fontId="74" fillId="0" borderId="0" xfId="0" applyNumberFormat="1" applyFont="1" applyAlignment="1">
      <alignment horizontal="left" vertical="center"/>
    </xf>
    <xf numFmtId="3" fontId="75" fillId="3" borderId="54" xfId="0" applyNumberFormat="1" applyFont="1" applyFill="1" applyBorder="1" applyAlignment="1">
      <alignment horizontal="right" vertical="center" wrapText="1"/>
    </xf>
    <xf numFmtId="3" fontId="74" fillId="4" borderId="33" xfId="0" applyNumberFormat="1" applyFont="1" applyFill="1" applyBorder="1" applyAlignment="1">
      <alignment horizontal="right" vertical="center" wrapText="1"/>
    </xf>
    <xf numFmtId="3" fontId="74" fillId="5" borderId="3" xfId="0" applyNumberFormat="1" applyFont="1" applyFill="1" applyBorder="1" applyAlignment="1">
      <alignment horizontal="right" vertical="center" wrapText="1"/>
    </xf>
    <xf numFmtId="3" fontId="74" fillId="6" borderId="55" xfId="0" applyNumberFormat="1" applyFont="1" applyFill="1" applyBorder="1" applyAlignment="1">
      <alignment horizontal="right" vertical="center" wrapText="1"/>
    </xf>
    <xf numFmtId="3" fontId="74" fillId="0" borderId="54" xfId="0" applyNumberFormat="1" applyFont="1" applyBorder="1" applyAlignment="1">
      <alignment horizontal="right" vertical="center" wrapText="1"/>
    </xf>
    <xf numFmtId="3" fontId="74" fillId="0" borderId="3" xfId="0" applyNumberFormat="1" applyFont="1" applyBorder="1" applyAlignment="1">
      <alignment horizontal="right" vertical="center" wrapText="1"/>
    </xf>
    <xf numFmtId="3" fontId="74" fillId="0" borderId="54" xfId="0" applyNumberFormat="1" applyFont="1" applyBorder="1" applyAlignment="1">
      <alignment horizontal="left" vertical="center" wrapText="1"/>
    </xf>
    <xf numFmtId="3" fontId="74" fillId="0" borderId="55" xfId="0" applyNumberFormat="1" applyFont="1" applyBorder="1" applyAlignment="1">
      <alignment horizontal="left" vertical="center" wrapText="1"/>
    </xf>
    <xf numFmtId="3" fontId="77" fillId="0" borderId="54" xfId="0" applyNumberFormat="1" applyFont="1" applyBorder="1" applyAlignment="1">
      <alignment horizontal="right" vertical="center" shrinkToFit="1"/>
    </xf>
    <xf numFmtId="3" fontId="77" fillId="0" borderId="3" xfId="0" applyNumberFormat="1" applyFont="1" applyBorder="1" applyAlignment="1">
      <alignment horizontal="right" vertical="center" shrinkToFit="1"/>
    </xf>
    <xf numFmtId="3" fontId="77" fillId="0" borderId="55" xfId="0" applyNumberFormat="1" applyFont="1" applyBorder="1" applyAlignment="1">
      <alignment horizontal="right" vertical="center" shrinkToFit="1"/>
    </xf>
    <xf numFmtId="3" fontId="74" fillId="0" borderId="0" xfId="0" applyNumberFormat="1" applyFont="1" applyAlignment="1">
      <alignment horizontal="left" vertical="center"/>
    </xf>
    <xf numFmtId="3" fontId="74" fillId="0" borderId="47" xfId="0" applyNumberFormat="1" applyFont="1" applyBorder="1" applyAlignment="1">
      <alignment horizontal="left" vertical="center"/>
    </xf>
    <xf numFmtId="3" fontId="74" fillId="0" borderId="24" xfId="0" applyNumberFormat="1" applyFont="1" applyBorder="1" applyAlignment="1">
      <alignment horizontal="left" vertical="center"/>
    </xf>
    <xf numFmtId="3" fontId="74" fillId="0" borderId="59" xfId="0" applyNumberFormat="1" applyFont="1" applyBorder="1" applyAlignment="1">
      <alignment horizontal="left" vertical="center"/>
    </xf>
    <xf numFmtId="3" fontId="74" fillId="0" borderId="8" xfId="0" applyNumberFormat="1" applyFont="1" applyBorder="1" applyAlignment="1">
      <alignment horizontal="left" vertical="center"/>
    </xf>
    <xf numFmtId="3" fontId="74" fillId="0" borderId="3" xfId="0" applyNumberFormat="1" applyFont="1" applyBorder="1" applyAlignment="1">
      <alignment horizontal="left" vertical="center"/>
    </xf>
    <xf numFmtId="9" fontId="74" fillId="0" borderId="34" xfId="1" applyFont="1" applyBorder="1" applyAlignment="1">
      <alignment horizontal="right" vertical="center"/>
    </xf>
    <xf numFmtId="9" fontId="74" fillId="0" borderId="24" xfId="1" applyFont="1" applyBorder="1" applyAlignment="1">
      <alignment horizontal="right" vertical="center"/>
    </xf>
    <xf numFmtId="0" fontId="80" fillId="0" borderId="0" xfId="0" applyFont="1"/>
    <xf numFmtId="0" fontId="80" fillId="0" borderId="0" xfId="0" applyFont="1" applyAlignment="1">
      <alignment horizontal="right"/>
    </xf>
    <xf numFmtId="0" fontId="80" fillId="0" borderId="35" xfId="0" applyFont="1" applyBorder="1"/>
    <xf numFmtId="0" fontId="80" fillId="0" borderId="69" xfId="0" applyFont="1" applyBorder="1"/>
    <xf numFmtId="3" fontId="81" fillId="0" borderId="0" xfId="0" applyNumberFormat="1" applyFont="1" applyAlignment="1">
      <alignment horizontal="right"/>
    </xf>
    <xf numFmtId="0" fontId="81" fillId="0" borderId="0" xfId="0" applyFont="1" applyAlignment="1">
      <alignment horizontal="right" vertical="top"/>
    </xf>
    <xf numFmtId="0" fontId="80" fillId="0" borderId="68" xfId="0" applyFont="1" applyBorder="1" applyAlignment="1">
      <alignment horizontal="left"/>
    </xf>
    <xf numFmtId="0" fontId="81" fillId="0" borderId="29" xfId="0" applyFont="1" applyBorder="1" applyAlignment="1">
      <alignment horizontal="right" vertical="top"/>
    </xf>
    <xf numFmtId="0" fontId="81" fillId="0" borderId="68" xfId="0" applyFont="1" applyBorder="1" applyAlignment="1">
      <alignment horizontal="right" vertical="top"/>
    </xf>
    <xf numFmtId="0" fontId="81" fillId="0" borderId="35" xfId="0" applyFont="1" applyBorder="1" applyAlignment="1">
      <alignment horizontal="right" vertical="top"/>
    </xf>
    <xf numFmtId="0" fontId="81" fillId="0" borderId="69" xfId="0" applyFont="1" applyBorder="1" applyAlignment="1">
      <alignment horizontal="right" vertical="top"/>
    </xf>
    <xf numFmtId="3" fontId="81" fillId="0" borderId="29" xfId="0" applyNumberFormat="1" applyFont="1" applyBorder="1" applyAlignment="1">
      <alignment horizontal="right" vertical="top"/>
    </xf>
    <xf numFmtId="3" fontId="81" fillId="0" borderId="36" xfId="0" applyNumberFormat="1" applyFont="1" applyBorder="1" applyAlignment="1">
      <alignment horizontal="right" vertical="top"/>
    </xf>
    <xf numFmtId="3" fontId="81" fillId="0" borderId="23" xfId="0" applyNumberFormat="1" applyFont="1" applyBorder="1" applyAlignment="1">
      <alignment horizontal="right" vertical="top"/>
    </xf>
    <xf numFmtId="0" fontId="79" fillId="0" borderId="0" xfId="0" applyFont="1" applyAlignment="1">
      <alignment horizontal="left" vertical="center"/>
    </xf>
    <xf numFmtId="3" fontId="76" fillId="7" borderId="71" xfId="0" applyNumberFormat="1" applyFont="1" applyFill="1" applyBorder="1" applyAlignment="1">
      <alignment horizontal="right" vertical="center" shrinkToFit="1"/>
    </xf>
    <xf numFmtId="3" fontId="76" fillId="7" borderId="6" xfId="0" applyNumberFormat="1" applyFont="1" applyFill="1" applyBorder="1" applyAlignment="1">
      <alignment horizontal="right" vertical="center" shrinkToFit="1"/>
    </xf>
    <xf numFmtId="3" fontId="76" fillId="7" borderId="72" xfId="0" applyNumberFormat="1" applyFont="1" applyFill="1" applyBorder="1" applyAlignment="1">
      <alignment horizontal="right" vertical="center" shrinkToFit="1"/>
    </xf>
    <xf numFmtId="170" fontId="74" fillId="0" borderId="34" xfId="1" applyNumberFormat="1" applyFont="1" applyBorder="1" applyAlignment="1">
      <alignment horizontal="right" vertical="center"/>
    </xf>
    <xf numFmtId="170" fontId="74" fillId="0" borderId="0" xfId="0" applyNumberFormat="1" applyFont="1" applyAlignment="1">
      <alignment horizontal="left" vertical="center"/>
    </xf>
    <xf numFmtId="170" fontId="74" fillId="0" borderId="70" xfId="1" applyNumberFormat="1" applyFont="1" applyBorder="1" applyAlignment="1">
      <alignment horizontal="right" vertical="center"/>
    </xf>
    <xf numFmtId="3" fontId="75" fillId="8" borderId="73" xfId="0" applyNumberFormat="1" applyFont="1" applyFill="1" applyBorder="1" applyAlignment="1">
      <alignment horizontal="right" vertical="center" wrapText="1"/>
    </xf>
    <xf numFmtId="2" fontId="74" fillId="0" borderId="0" xfId="0" applyNumberFormat="1" applyFont="1" applyAlignment="1">
      <alignment horizontal="left" vertical="center"/>
    </xf>
    <xf numFmtId="0" fontId="75" fillId="2" borderId="6" xfId="0" applyFont="1" applyFill="1" applyBorder="1" applyAlignment="1">
      <alignment horizontal="left" vertical="center" wrapText="1"/>
    </xf>
    <xf numFmtId="0" fontId="74" fillId="0" borderId="74" xfId="0" applyFont="1" applyBorder="1" applyAlignment="1">
      <alignment horizontal="left" vertical="center" wrapText="1"/>
    </xf>
    <xf numFmtId="3" fontId="75" fillId="16" borderId="51" xfId="0" applyNumberFormat="1" applyFont="1" applyFill="1" applyBorder="1" applyAlignment="1">
      <alignment horizontal="center" vertical="center" wrapText="1"/>
    </xf>
    <xf numFmtId="3" fontId="75" fillId="16" borderId="52" xfId="0" applyNumberFormat="1" applyFont="1" applyFill="1" applyBorder="1" applyAlignment="1">
      <alignment horizontal="center" vertical="center" wrapText="1"/>
    </xf>
    <xf numFmtId="3" fontId="75" fillId="16" borderId="76" xfId="0" applyNumberFormat="1" applyFont="1" applyFill="1" applyBorder="1" applyAlignment="1">
      <alignment horizontal="center" vertical="center" wrapText="1"/>
    </xf>
    <xf numFmtId="3" fontId="75" fillId="16" borderId="45" xfId="0" applyNumberFormat="1" applyFont="1" applyFill="1" applyBorder="1" applyAlignment="1">
      <alignment horizontal="center" vertical="center" wrapText="1"/>
    </xf>
    <xf numFmtId="3" fontId="75" fillId="16" borderId="75" xfId="0" applyNumberFormat="1" applyFont="1" applyFill="1" applyBorder="1" applyAlignment="1">
      <alignment horizontal="center" vertical="center" wrapText="1"/>
    </xf>
    <xf numFmtId="3" fontId="75" fillId="16" borderId="46" xfId="0" applyNumberFormat="1" applyFont="1" applyFill="1" applyBorder="1" applyAlignment="1">
      <alignment horizontal="center" vertical="center" wrapText="1"/>
    </xf>
    <xf numFmtId="0" fontId="75" fillId="16" borderId="51" xfId="0" applyFont="1" applyFill="1" applyBorder="1" applyAlignment="1">
      <alignment horizontal="center" vertical="center" wrapText="1"/>
    </xf>
    <xf numFmtId="0" fontId="75" fillId="16" borderId="52" xfId="0" applyFont="1" applyFill="1" applyBorder="1" applyAlignment="1">
      <alignment horizontal="center" vertical="center" wrapText="1"/>
    </xf>
    <xf numFmtId="0" fontId="75" fillId="16" borderId="53" xfId="0" applyFont="1" applyFill="1" applyBorder="1" applyAlignment="1">
      <alignment horizontal="center" vertical="center" wrapText="1"/>
    </xf>
    <xf numFmtId="0" fontId="6" fillId="0" borderId="0" xfId="0" applyFont="1" applyAlignment="1">
      <alignment horizontal="center" vertical="center"/>
    </xf>
    <xf numFmtId="0" fontId="43" fillId="0" borderId="0" xfId="0" applyFont="1" applyAlignment="1">
      <alignment horizontal="center" vertical="top"/>
    </xf>
    <xf numFmtId="0" fontId="10" fillId="9" borderId="27" xfId="2" applyBorder="1" applyAlignment="1">
      <alignment horizontal="center"/>
    </xf>
    <xf numFmtId="0" fontId="10" fillId="9" borderId="28" xfId="2" applyBorder="1" applyAlignment="1">
      <alignment horizontal="center"/>
    </xf>
    <xf numFmtId="0" fontId="39" fillId="24" borderId="5" xfId="0" applyFont="1" applyFill="1" applyBorder="1" applyAlignment="1">
      <alignment horizontal="center" vertical="center" wrapText="1"/>
    </xf>
  </cellXfs>
  <cellStyles count="9">
    <cellStyle name="Komma 2" xfId="6" xr:uid="{87CB7C05-E948-4342-AF63-04EC61423187}"/>
    <cellStyle name="Lien hypertexte" xfId="3" builtinId="8"/>
    <cellStyle name="Milliers" xfId="7" builtinId="3"/>
    <cellStyle name="Neutre" xfId="2" builtinId="28"/>
    <cellStyle name="Normal" xfId="0" builtinId="0"/>
    <cellStyle name="Pourcentage" xfId="1" builtinId="5"/>
    <cellStyle name="Standaard 2" xfId="5" xr:uid="{85A555DD-0498-4A2E-96F3-0B5BDB02D0EA}"/>
    <cellStyle name="Standaard 3" xfId="4" xr:uid="{1631A03A-46BB-4E2B-98FB-632186D5A8ED}"/>
    <cellStyle name="Standaard 4" xfId="8" xr:uid="{AFD9DE4A-3009-470E-B7A5-C99FA6855185}"/>
  </cellStyles>
  <dxfs count="16">
    <dxf>
      <font>
        <b val="0"/>
        <i val="0"/>
        <strike val="0"/>
        <condense val="0"/>
        <extend val="0"/>
        <outline val="0"/>
        <shadow val="0"/>
        <u val="none"/>
        <vertAlign val="baseline"/>
        <sz val="8"/>
        <color auto="1"/>
        <name val="Arial"/>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Avenir Next LT Pro Light"/>
        <family val="2"/>
        <scheme val="none"/>
      </font>
      <border diagonalUp="0" diagonalDown="0">
        <left/>
        <right style="thin">
          <color indexed="64"/>
        </right>
        <top/>
        <bottom/>
        <vertical/>
        <horizontal/>
      </border>
    </dxf>
    <dxf>
      <font>
        <b val="0"/>
        <i val="0"/>
        <strike val="0"/>
        <condense val="0"/>
        <extend val="0"/>
        <outline val="0"/>
        <shadow val="0"/>
        <u val="none"/>
        <vertAlign val="baseline"/>
        <sz val="10"/>
        <color theme="1"/>
        <name val="Avenir Next LT Pro Light"/>
        <family val="2"/>
        <scheme val="none"/>
      </font>
      <numFmt numFmtId="171" formatCode="d/mmm"/>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venir Next LT Pro Light"/>
        <family val="2"/>
        <scheme val="none"/>
      </font>
      <border diagonalUp="0" diagonalDown="0">
        <left/>
        <right style="thin">
          <color indexed="64"/>
        </right>
        <top/>
        <bottom/>
        <vertical/>
        <horizontal/>
      </border>
    </dxf>
    <dxf>
      <font>
        <b val="0"/>
        <i val="0"/>
        <strike val="0"/>
        <condense val="0"/>
        <extend val="0"/>
        <outline val="0"/>
        <shadow val="0"/>
        <u val="none"/>
        <vertAlign val="baseline"/>
        <sz val="10"/>
        <color theme="1"/>
        <name val="Avenir Next LT Pro Light"/>
        <family val="2"/>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venir Next LT Pro Light"/>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venir Next LT Pro Light"/>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venir Next LT Pro Light"/>
        <family val="2"/>
        <scheme val="none"/>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venir Next LT Pro Light"/>
        <family val="2"/>
        <scheme val="none"/>
      </font>
      <numFmt numFmtId="172" formatCode="d/mm/yyyy"/>
      <alignment horizontal="lef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Avenir Next LT Pro Light"/>
        <family val="2"/>
        <scheme val="none"/>
      </font>
      <numFmt numFmtId="172" formatCode="d/mm/yyyy"/>
      <alignment horizontal="lef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0"/>
        <color theme="1"/>
        <name val="Avenir Next LT Pro Light"/>
        <family val="2"/>
        <scheme val="none"/>
      </font>
      <alignment horizontal="lef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venir Next LT Pro Light"/>
        <family val="2"/>
        <scheme val="none"/>
      </font>
      <alignment horizontal="center"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Avenir Next LT Pro Light"/>
        <family val="2"/>
        <scheme val="none"/>
      </font>
      <numFmt numFmtId="172" formatCode="d/mm/yyyy"/>
      <alignment horizontal="lef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venir Next LT Pro Light"/>
        <family val="2"/>
        <scheme val="none"/>
      </font>
      <alignment horizontal="center"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Avenir Next LT Pro Light"/>
        <family val="2"/>
        <scheme val="none"/>
      </font>
      <alignment horizontal="center" vertical="bottom" textRotation="0" wrapText="0" indent="0" justifyLastLine="0" shrinkToFit="0" readingOrder="0"/>
    </dxf>
    <dxf>
      <border outline="0">
        <left style="thin">
          <color indexed="64"/>
        </left>
      </border>
    </dxf>
  </dxfs>
  <tableStyles count="0" defaultTableStyle="TableStyleMedium9" defaultPivotStyle="PivotStyleLight16"/>
  <colors>
    <mruColors>
      <color rgb="FFCCFFFF"/>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FINANCES\Budget\2024\NROA-CNOA_begroting_2024_v2-voor%20NROA.xlsx" TargetMode="External"/><Relationship Id="rId1" Type="http://schemas.openxmlformats.org/officeDocument/2006/relationships/externalLinkPath" Target="file:///V:\FINANCES\Budget\2024\NROA-CNOA_begroting_2024_v2-voor%20NRO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ofdtabel - tableau principal"/>
      <sheetName val="aantal leden - ALL-2024"/>
      <sheetName val="Budget_CfgOA_2024"/>
      <sheetName val="Budget_VROA_2024"/>
      <sheetName val="indexatie"/>
      <sheetName val="Detail 2024-NROA-bron"/>
      <sheetName val="eenmalige kosten-frais uniques"/>
      <sheetName val="eenm kosten-frais uniques 24"/>
      <sheetName val="aantal leden - ALL-2023"/>
      <sheetName val="facturen-2023"/>
      <sheetName val="Budget_VROA_2023"/>
      <sheetName val="Budget_CfgOA_2023"/>
      <sheetName val="draaitabel kosten  23"/>
      <sheetName val="VROA - aantal leden"/>
    </sheetNames>
    <sheetDataSet>
      <sheetData sheetId="0"/>
      <sheetData sheetId="1"/>
      <sheetData sheetId="2"/>
      <sheetData sheetId="3"/>
      <sheetData sheetId="4"/>
      <sheetData sheetId="5"/>
      <sheetData sheetId="6"/>
      <sheetData sheetId="7"/>
      <sheetData sheetId="8">
        <row r="10">
          <cell r="E10">
            <v>4393070</v>
          </cell>
        </row>
        <row r="11">
          <cell r="E11">
            <v>3242525</v>
          </cell>
        </row>
      </sheetData>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Vandermosten, Jennifer" id="{8024F35A-F555-4572-B146-63BF03FAF15A}" userId="S::jvandermosten@ordevanarchitecten.be::260225c3-2058-4af0-8fea-4198a99e6b16"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andermosten, Jennifer" refreshedDate="45257.603743402775" createdVersion="8" refreshedVersion="8" minRefreshableVersion="3" recordCount="222" xr:uid="{80DA62A3-DCAA-4AED-9C6E-49D6B1BE5572}">
  <cacheSource type="worksheet">
    <worksheetSource ref="A1:Q223" sheet="facturen-2023"/>
  </cacheSource>
  <cacheFields count="17">
    <cacheField name="INT-NUM" numFmtId="0">
      <sharedItems containsSemiMixedTypes="0" containsString="0" containsNumber="1" containsInteger="1" minValue="1" maxValue="222"/>
    </cacheField>
    <cacheField name="TYPE" numFmtId="0">
      <sharedItems/>
    </cacheField>
    <cacheField name="DATE-IN" numFmtId="0">
      <sharedItems containsDate="1" containsMixedTypes="1" minDate="2022-01-12T00:00:00" maxDate="2023-11-07T00:00:00"/>
    </cacheField>
    <cacheField name="OA-OK" numFmtId="0">
      <sharedItems containsNonDate="0" containsString="0" containsBlank="1"/>
    </cacheField>
    <cacheField name="SUPPLIER" numFmtId="0">
      <sharedItems count="44">
        <s v="DKV"/>
        <s v="ATTENTIA"/>
        <s v="Conseil des Architectes d'Europe"/>
        <s v="Les Etablissements ROVA"/>
        <s v="Proximus"/>
        <s v="Unix Solutions"/>
        <s v="ALLIANZ"/>
        <s v="BLUE KRYPT security Expert"/>
        <s v="ENGIE"/>
        <s v="EDENRED"/>
        <s v="ZOOM"/>
        <s v="WABU"/>
        <s v="P&amp;V VERZEKERINGEN"/>
        <s v="GSP PARTNER"/>
        <s v="AKIRA (ACE Translators)"/>
        <s v="MENSURA"/>
        <s v="MARSH"/>
        <s v="Fidal Avocats"/>
        <s v="Codabel management"/>
        <s v="LAB9"/>
        <s v="LAURENTY"/>
        <s v="Agence Régionale pour la propreté"/>
        <s v="BRUNEAU"/>
        <s v="SOLUCIOUS"/>
        <s v="Ville de Bruxelles"/>
        <s v="URBAN LAW"/>
        <s v="CALUWAERTS UYTTERHOEVEN LEGAL OFFICE"/>
        <s v="SKYDOO"/>
        <s v="COOLBLUE"/>
        <s v="BRUSSELS FOODIE"/>
        <s v="Reprobel"/>
        <s v="ROVA (Esset)"/>
        <s v="ACE"/>
        <s v="Les Etablissements ROVA (ESSET)"/>
        <s v="Service Publix Fédéral FINANCES"/>
        <s v="BakerTilly"/>
        <s v="Codabel Management (Esset)"/>
        <s v="ESSET LES ETABLISSEMENTS ROVA"/>
        <s v="Vivaqua"/>
        <s v="DM&amp;S"/>
        <s v="DKV belgium"/>
        <s v="Akira translations"/>
        <s v="CODABEL"/>
        <s v="ANSAY Roseline"/>
      </sharedItems>
    </cacheField>
    <cacheField name="INV DATE" numFmtId="0">
      <sharedItems containsDate="1" containsMixedTypes="1" minDate="2020-03-30T00:00:00" maxDate="2023-11-07T00:00:00"/>
    </cacheField>
    <cacheField name="DUE DATE" numFmtId="0">
      <sharedItems containsDate="1" containsMixedTypes="1" minDate="2020-03-30T00:00:00" maxDate="2023-11-18T00:00:00"/>
    </cacheField>
    <cacheField name="INV-NUM" numFmtId="0">
      <sharedItems containsMixedTypes="1" containsNumber="1" containsInteger="1" minValue="23053" maxValue="202307001594"/>
    </cacheField>
    <cacheField name="ACC-NUM" numFmtId="0">
      <sharedItems containsNonDate="0" containsString="0" containsBlank="1"/>
    </cacheField>
    <cacheField name="PROV." numFmtId="0">
      <sharedItems/>
    </cacheField>
    <cacheField name="COMMENTS" numFmtId="0">
      <sharedItems containsMixedTypes="1" containsNumber="1" containsInteger="1" minValue="23071466" maxValue="23071466"/>
    </cacheField>
    <cacheField name="AMOUNT" numFmtId="165">
      <sharedItems containsSemiMixedTypes="0" containsString="0" containsNumber="1" minValue="-89.54" maxValue="169600"/>
    </cacheField>
    <cacheField name="Date PMT" numFmtId="0">
      <sharedItems containsDate="1" containsMixedTypes="1" minDate="2023-03-01T00:00:00" maxDate="2023-11-17T00:00:00"/>
    </cacheField>
    <cacheField name="Date Signature" numFmtId="0">
      <sharedItems containsDate="1" containsBlank="1" containsMixedTypes="1" minDate="2023-05-05T00:00:00" maxDate="2023-06-16T00:00:00"/>
    </cacheField>
    <cacheField name="rubriek in globaal budget" numFmtId="0">
      <sharedItems containsBlank="1" count="29">
        <s v="?"/>
        <s v="Cotisations ACE"/>
        <s v="Loyers et charges locatives  batiments"/>
        <s v="Téléphone, fax, Gsm"/>
        <s v="IT (BOB + webhosting)"/>
        <s v="Assurance - accident du travail"/>
        <s v="Frais des élections"/>
        <s v="Énergie et eau (si pas dans loyers et charges)"/>
        <s v="Batibouw"/>
        <s v="Assurances  - Responsab. Civile"/>
        <s v="Toner imprimante etc"/>
        <s v="Secrétariat social"/>
        <s v="Traductions"/>
        <s v="Frais personnel - autres"/>
        <s v="Assurances - Mandataires + RC administrateurs"/>
        <s v="Honoraires et consultations"/>
        <s v="Entretien immobilier"/>
        <s v="Matériel de bureau"/>
        <s v="Taxes provinciales &amp; communales"/>
        <s v="Achat matériel informatique"/>
        <s v="rubriek in globaal budget"/>
        <s v="Reprobel"/>
        <m/>
        <s v="Précompte immobilier"/>
        <s v="Honoraires reviseur d'entreprise"/>
        <s v="Assurances  - Diverses + Auto"/>
        <s v="? "/>
        <s v="Matériel informatique"/>
        <s v="Location mobilier (ICT)" u="1"/>
      </sharedItems>
    </cacheField>
    <cacheField name="toelichting" numFmtId="0">
      <sharedItems containsBlank="1"/>
    </cacheField>
    <cacheField name="frequentie" numFmtId="0">
      <sharedItems containsBlank="1" count="7">
        <s v="maandelijks"/>
        <s v="kwartaal"/>
        <s v="jaarlijks"/>
        <s v="eenmalig"/>
        <s v="niet in 2024"/>
        <s v="trimestrieel"/>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2">
  <r>
    <n v="1"/>
    <s v="ACH"/>
    <d v="2022-01-12T00:00:00"/>
    <m/>
    <x v="0"/>
    <d v="2023-01-11T00:00:00"/>
    <d v="2023-01-11T00:00:00"/>
    <s v="420006800-03"/>
    <m/>
    <s v="CNOA"/>
    <s v="Premie 01-2023"/>
    <n v="53.11"/>
    <d v="2023-03-01T00:00:00"/>
    <m/>
    <x v="0"/>
    <s v="hospitalisatieverzekering"/>
    <x v="0"/>
  </r>
  <r>
    <n v="2"/>
    <s v="ACH"/>
    <d v="2022-01-20T00:00:00"/>
    <m/>
    <x v="1"/>
    <d v="2023-01-16T00:00:00"/>
    <d v="2023-01-16T00:00:00"/>
    <s v="2022 12019276"/>
    <m/>
    <s v="CNOA"/>
    <s v="4Q RSZ "/>
    <n v="89601.63"/>
    <s v="DOM"/>
    <m/>
    <x v="0"/>
    <s v="bedrijfsvoorheffing of personeelskosten voor orde"/>
    <x v="1"/>
  </r>
  <r>
    <n v="3"/>
    <s v="ACH"/>
    <d v="2023-01-30T00:00:00"/>
    <m/>
    <x v="2"/>
    <d v="2023-01-27T00:00:00"/>
    <d v="2023-01-27T00:00:00"/>
    <s v="03/2023"/>
    <m/>
    <s v="CNOA"/>
    <s v="Ace Subscription 2023"/>
    <n v="8938.5"/>
    <d v="2023-03-01T00:00:00"/>
    <m/>
    <x v="1"/>
    <m/>
    <x v="2"/>
  </r>
  <r>
    <n v="4"/>
    <s v="ACH"/>
    <d v="2023-02-01T00:00:00"/>
    <m/>
    <x v="3"/>
    <d v="2023-02-01T00:00:00"/>
    <d v="2023-02-01T00:00:00"/>
    <s v="2023000271"/>
    <m/>
    <s v="CNOA"/>
    <s v="Rent exempt of VAT - Office - période 02/2023"/>
    <n v="2327.7399999999998"/>
    <d v="2023-03-01T00:00:00"/>
    <m/>
    <x v="2"/>
    <m/>
    <x v="0"/>
  </r>
  <r>
    <n v="5"/>
    <s v="ACH"/>
    <d v="2023-02-01T00:00:00"/>
    <m/>
    <x v="3"/>
    <d v="2023-02-01T00:00:00"/>
    <d v="2023-02-01T00:00:00"/>
    <s v="2023000346"/>
    <m/>
    <s v="CNOA"/>
    <s v="Rent exempt of VAT - Storage - période 02/2023"/>
    <n v="307.91000000000003"/>
    <d v="2023-03-01T00:00:00"/>
    <m/>
    <x v="2"/>
    <m/>
    <x v="0"/>
  </r>
  <r>
    <n v="6"/>
    <s v="ACH"/>
    <d v="2023-01-06T00:00:00"/>
    <m/>
    <x v="4"/>
    <d v="2023-01-03T00:00:00"/>
    <d v="2023-01-03T00:00:00"/>
    <s v="7301156202"/>
    <m/>
    <s v="CNOA"/>
    <s v="Mobiel NDW"/>
    <n v="27.83"/>
    <s v="DOM"/>
    <m/>
    <x v="3"/>
    <m/>
    <x v="0"/>
  </r>
  <r>
    <n v="7"/>
    <s v="ACH"/>
    <d v="2023-01-06T00:00:00"/>
    <m/>
    <x v="4"/>
    <d v="2023-01-03T00:00:00"/>
    <d v="2023-01-03T00:00:00"/>
    <s v="7301156217"/>
    <m/>
    <s v="CNOA"/>
    <s v="Vaste telefonie dec/jan 23"/>
    <n v="79.19"/>
    <d v="2023-03-01T00:00:00"/>
    <m/>
    <x v="3"/>
    <m/>
    <x v="0"/>
  </r>
  <r>
    <n v="8"/>
    <s v="ACH"/>
    <d v="2023-01-11T00:00:00"/>
    <m/>
    <x v="5"/>
    <d v="2023-01-01T00:00:00"/>
    <d v="2023-01-01T00:00:00"/>
    <s v="F202300477"/>
    <m/>
    <s v="CNOA"/>
    <s v="Hosting omgeving januari/2023"/>
    <n v="617.1"/>
    <d v="2023-03-01T00:00:00"/>
    <m/>
    <x v="4"/>
    <s v="server unieke lijst"/>
    <x v="0"/>
  </r>
  <r>
    <n v="9"/>
    <s v="ACH"/>
    <d v="2023-01-27T00:00:00"/>
    <m/>
    <x v="6"/>
    <d v="2023-01-31T00:00:00"/>
    <d v="2023-01-31T00:00:00"/>
    <s v="310130879156"/>
    <m/>
    <s v="CNOA"/>
    <s v="Periode Januari "/>
    <n v="443.55"/>
    <d v="2023-03-01T00:00:00"/>
    <m/>
    <x v="5"/>
    <m/>
    <x v="0"/>
  </r>
  <r>
    <n v="10"/>
    <s v="ACH"/>
    <d v="2023-01-19T00:00:00"/>
    <m/>
    <x v="7"/>
    <d v="2023-01-19T00:00:00"/>
    <d v="2023-01-19T00:00:00"/>
    <s v="FD23-1-001"/>
    <m/>
    <s v="CNOA"/>
    <s v="Vote électronique - élections ordinales"/>
    <n v="9070.16"/>
    <d v="2023-03-01T00:00:00"/>
    <m/>
    <x v="6"/>
    <m/>
    <x v="3"/>
  </r>
  <r>
    <n v="11"/>
    <s v="ACH"/>
    <d v="2023-01-20T00:00:00"/>
    <m/>
    <x v="1"/>
    <d v="2023-01-17T00:00:00"/>
    <d v="2023-01-17T00:00:00"/>
    <s v="20231001010"/>
    <m/>
    <s v="CNOA"/>
    <s v="Provison "/>
    <n v="59139.42"/>
    <s v="DOM"/>
    <m/>
    <x v="0"/>
    <s v="bedrijfsvoorheffing of personeelskosten voor orde"/>
    <x v="1"/>
  </r>
  <r>
    <n v="12"/>
    <s v="ACH"/>
    <d v="2023-01-23T00:00:00"/>
    <m/>
    <x v="8"/>
    <d v="2023-01-19T00:00:00"/>
    <d v="2023-01-19T00:00:00"/>
    <s v="709 691 044 126"/>
    <m/>
    <s v="CNOA"/>
    <s v="Kartuizerstr - contract 2 152 365 260"/>
    <n v="104.3"/>
    <s v="DOM"/>
    <m/>
    <x v="7"/>
    <m/>
    <x v="0"/>
  </r>
  <r>
    <n v="13"/>
    <s v="ACH"/>
    <d v="2023-01-27T00:00:00"/>
    <m/>
    <x v="9"/>
    <d v="2023-01-24T00:00:00"/>
    <d v="2023-01-24T00:00:00"/>
    <s v="2310042279"/>
    <m/>
    <s v="CNOA"/>
    <s v="Maaltijdcheques jan 2023"/>
    <n v="180.26"/>
    <s v="DOM"/>
    <m/>
    <x v="0"/>
    <s v="maaltijdcheques"/>
    <x v="0"/>
  </r>
  <r>
    <n v="14"/>
    <s v="ACH"/>
    <d v="2023-01-30T00:00:00"/>
    <m/>
    <x v="10"/>
    <d v="2023-01-28T00:00:00"/>
    <d v="2023-01-28T00:00:00"/>
    <s v="INV186155777"/>
    <m/>
    <s v="CNOA"/>
    <s v="Cloud recording "/>
    <n v="89.54"/>
    <s v="DOM"/>
    <s v="terugbet aan VROA"/>
    <x v="4"/>
    <s v="zoom maandabonnement"/>
    <x v="0"/>
  </r>
  <r>
    <n v="15"/>
    <s v="ACH"/>
    <d v="2023-02-01T00:00:00"/>
    <m/>
    <x v="3"/>
    <d v="2023-02-01T00:00:00"/>
    <d v="2023-02-01T00:00:00"/>
    <s v="2023 000 282"/>
    <m/>
    <s v="CNOA"/>
    <s v="Service Charge Provisions"/>
    <n v="445"/>
    <d v="2023-03-01T00:00:00"/>
    <m/>
    <x v="2"/>
    <m/>
    <x v="0"/>
  </r>
  <r>
    <n v="16"/>
    <s v="ACH"/>
    <d v="2023-02-02T00:00:00"/>
    <m/>
    <x v="5"/>
    <d v="2023-02-01T00:00:00"/>
    <d v="2023-02-01T00:00:00"/>
    <s v="F2023 00603 - 660"/>
    <m/>
    <s v="CNOA"/>
    <s v="VPS plan februari /2023"/>
    <n v="617.1"/>
    <d v="2023-03-01T00:00:00"/>
    <m/>
    <x v="4"/>
    <s v="server unieke lijst"/>
    <x v="0"/>
  </r>
  <r>
    <n v="17"/>
    <s v="ACH"/>
    <d v="2023-01-17T00:00:00"/>
    <m/>
    <x v="11"/>
    <d v="2023-02-16T00:00:00"/>
    <d v="2023-02-16T00:00:00"/>
    <s v="23040"/>
    <m/>
    <s v="CNOA"/>
    <s v="Batibouw "/>
    <n v="3267.77"/>
    <d v="2023-03-01T00:00:00"/>
    <m/>
    <x v="8"/>
    <m/>
    <x v="4"/>
  </r>
  <r>
    <n v="18"/>
    <s v="ACH"/>
    <d v="2022-01-17T00:00:00"/>
    <m/>
    <x v="11"/>
    <d v="2023-02-16T00:00:00"/>
    <d v="2023-02-16T00:00:00"/>
    <s v="23016"/>
    <m/>
    <s v="CNOA"/>
    <s v="Voorschot stand Batibouw"/>
    <n v="12487.2"/>
    <d v="2023-03-01T00:00:00"/>
    <m/>
    <x v="8"/>
    <m/>
    <x v="4"/>
  </r>
  <r>
    <n v="19"/>
    <s v="ACH"/>
    <d v="2023-01-17T00:00:00"/>
    <m/>
    <x v="11"/>
    <d v="2023-02-16T00:00:00"/>
    <d v="2023-02-16T00:00:00"/>
    <s v="23039"/>
    <m/>
    <s v="CNOA"/>
    <s v="Batibouw stand "/>
    <n v="1556.4"/>
    <d v="2023-03-01T00:00:00"/>
    <m/>
    <x v="8"/>
    <m/>
    <x v="4"/>
  </r>
  <r>
    <n v="20"/>
    <s v="ACH"/>
    <d v="2022-02-15T00:00:00"/>
    <m/>
    <x v="12"/>
    <d v="2023-01-13T00:00:00"/>
    <d v="2023-01-13T00:00:00"/>
    <s v="32703833/001"/>
    <m/>
    <s v="CNOA"/>
    <s v="P&amp;V Ideal Liability"/>
    <n v="65.56"/>
    <d v="2023-03-01T00:00:00"/>
    <m/>
    <x v="9"/>
    <m/>
    <x v="2"/>
  </r>
  <r>
    <n v="21"/>
    <s v="ACH"/>
    <d v="2023-02-15T00:00:00"/>
    <m/>
    <x v="13"/>
    <d v="2022-01-09T00:00:00"/>
    <d v="2023-01-09T00:00:00"/>
    <s v="202318010146"/>
    <m/>
    <s v="CNOA"/>
    <s v="Période 4ième trimestre 2022"/>
    <n v="70.36"/>
    <d v="2023-03-01T00:00:00"/>
    <m/>
    <x v="10"/>
    <s v="verbruik kopieën"/>
    <x v="5"/>
  </r>
  <r>
    <n v="22"/>
    <s v="ACH"/>
    <d v="2023-02-15T00:00:00"/>
    <m/>
    <x v="12"/>
    <d v="2023-01-13T00:00:00"/>
    <d v="2023-01-13T00:00:00"/>
    <s v="48019492"/>
    <m/>
    <s v="CNOA"/>
    <s v="Ideal Accidents"/>
    <n v="71.959999999999994"/>
    <d v="2023-03-01T00:00:00"/>
    <m/>
    <x v="5"/>
    <m/>
    <x v="5"/>
  </r>
  <r>
    <n v="23"/>
    <s v="ACH"/>
    <d v="2023-02-03T00:00:00"/>
    <m/>
    <x v="1"/>
    <d v="2023-01-31T00:00:00"/>
    <d v="2023-01-31T00:00:00"/>
    <s v="2023 13000289 "/>
    <m/>
    <s v="CNOA"/>
    <s v="Frais de gestion Attentia"/>
    <n v="183.74"/>
    <s v="DOM"/>
    <m/>
    <x v="11"/>
    <m/>
    <x v="5"/>
  </r>
  <r>
    <n v="24"/>
    <s v="ACH"/>
    <d v="2023-02-03T00:00:00"/>
    <m/>
    <x v="1"/>
    <d v="2023-01-31T00:00:00"/>
    <d v="2023-01-31T00:00:00"/>
    <s v="2023 01003175"/>
    <m/>
    <s v="CNOA"/>
    <s v="précompte Professionnel"/>
    <n v="1206.47"/>
    <s v="DOM"/>
    <m/>
    <x v="0"/>
    <s v="patronale bijdragen"/>
    <x v="5"/>
  </r>
  <r>
    <n v="25"/>
    <s v="ACH"/>
    <d v="2023-02-06T00:00:00"/>
    <m/>
    <x v="4"/>
    <d v="2023-02-03T00:00:00"/>
    <d v="2023-02-03T00:00:00"/>
    <s v="7301719955 "/>
    <m/>
    <s v="CNOA"/>
    <s v="Mobiel NDW"/>
    <n v="27.83"/>
    <s v="DOM"/>
    <m/>
    <x v="3"/>
    <m/>
    <x v="5"/>
  </r>
  <r>
    <n v="26"/>
    <s v="ACH"/>
    <d v="2023-02-06T00:00:00"/>
    <m/>
    <x v="4"/>
    <d v="2023-02-03T00:00:00"/>
    <d v="2023-02-03T00:00:00"/>
    <s v="7301719977"/>
    <m/>
    <s v="CNOA"/>
    <s v="Vaste telefonie jan/febr 2023"/>
    <n v="81.41"/>
    <d v="2023-03-27T00:00:00"/>
    <m/>
    <x v="3"/>
    <m/>
    <x v="5"/>
  </r>
  <r>
    <n v="27"/>
    <s v="ACH"/>
    <d v="2023-02-09T00:00:00"/>
    <m/>
    <x v="14"/>
    <s v="31/02/2023"/>
    <d v="2023-03-02T00:00:00"/>
    <s v="I_23-00168"/>
    <m/>
    <s v="CNOA"/>
    <s v="Comité de suivi élections"/>
    <n v="1016.4"/>
    <d v="2023-03-27T00:00:00"/>
    <m/>
    <x v="12"/>
    <m/>
    <x v="5"/>
  </r>
  <r>
    <n v="28"/>
    <s v="ACH"/>
    <d v="2023-02-10T00:00:00"/>
    <m/>
    <x v="14"/>
    <d v="2023-01-31T00:00:00"/>
    <d v="2023-03-02T00:00:00"/>
    <s v="I_23-00169"/>
    <m/>
    <s v="CNOA"/>
    <s v="Séance du Conseil National"/>
    <n v="1016.4"/>
    <d v="2023-03-27T00:00:00"/>
    <m/>
    <x v="12"/>
    <m/>
    <x v="5"/>
  </r>
  <r>
    <n v="29"/>
    <s v="ACH"/>
    <d v="2023-02-15T00:00:00"/>
    <m/>
    <x v="15"/>
    <d v="2023-03-12T00:00:00"/>
    <d v="2023-03-12T00:00:00"/>
    <s v="2303 1461"/>
    <m/>
    <s v="CNOA"/>
    <s v="Werknemersbijdragen VROA-CFGOA-NROA"/>
    <n v="113.57"/>
    <d v="2023-03-27T00:00:00"/>
    <m/>
    <x v="13"/>
    <m/>
    <x v="5"/>
  </r>
  <r>
    <n v="30"/>
    <s v="ACH"/>
    <d v="2023-02-17T00:00:00"/>
    <m/>
    <x v="16"/>
    <d v="2023-01-25T00:00:00"/>
    <d v="2023-01-25T00:00:00"/>
    <s v="5210122/0865937"/>
    <m/>
    <s v="CNOA"/>
    <s v="période 01/10/2022 - 30/09/2023"/>
    <n v="2242.13"/>
    <d v="2023-03-27T00:00:00"/>
    <m/>
    <x v="14"/>
    <m/>
    <x v="5"/>
  </r>
  <r>
    <n v="31"/>
    <s v="ACH"/>
    <d v="2023-02-17T00:00:00"/>
    <m/>
    <x v="1"/>
    <d v="2023-02-16T00:00:00"/>
    <d v="2023-02-16T00:00:00"/>
    <s v="2023 02004584"/>
    <m/>
    <s v="CNOA"/>
    <s v="Provsions Onss "/>
    <n v="59139.42"/>
    <s v="DOM"/>
    <m/>
    <x v="0"/>
    <s v="bedrijfsvoorheffing"/>
    <x v="5"/>
  </r>
  <r>
    <n v="32"/>
    <s v="ACH"/>
    <d v="2023-02-20T00:00:00"/>
    <m/>
    <x v="17"/>
    <d v="2023-01-31T00:00:00"/>
    <d v="2023-01-31T00:00:00"/>
    <s v="BRXFID23000168"/>
    <m/>
    <s v="CNOA"/>
    <s v="Prestations de Mme Aladenise - 01/23"/>
    <n v="549.04"/>
    <d v="2023-03-27T00:00:00"/>
    <m/>
    <x v="15"/>
    <m/>
    <x v="5"/>
  </r>
  <r>
    <n v="33"/>
    <s v="ACH"/>
    <d v="2023-02-22T00:00:00"/>
    <m/>
    <x v="8"/>
    <d v="2023-02-19T00:00:00"/>
    <d v="2023-02-19T00:00:00"/>
    <s v="708 730 738 087"/>
    <m/>
    <s v="CNOA"/>
    <s v="Kartuizerstr - ean 541448920709776973"/>
    <n v="104.3"/>
    <s v="DOM"/>
    <m/>
    <x v="7"/>
    <m/>
    <x v="5"/>
  </r>
  <r>
    <n v="34"/>
    <s v="ACH"/>
    <d v="2023-02-23T00:00:00"/>
    <m/>
    <x v="6"/>
    <d v="2023-02-28T00:00:00"/>
    <d v="2023-02-28T00:00:00"/>
    <s v="310/1316/39901"/>
    <m/>
    <s v="CNOA"/>
    <s v="groepsverzekering NDW"/>
    <n v="443.55"/>
    <d v="2023-03-27T00:00:00"/>
    <m/>
    <x v="5"/>
    <m/>
    <x v="5"/>
  </r>
  <r>
    <n v="35"/>
    <s v="ACH"/>
    <d v="2023-03-01T00:00:00"/>
    <m/>
    <x v="10"/>
    <d v="2023-02-28T00:00:00"/>
    <d v="2023-03-28T00:00:00"/>
    <s v="INV190725733"/>
    <m/>
    <s v="CNOA"/>
    <s v="Cloud recording "/>
    <n v="89.54"/>
    <s v="DOM"/>
    <s v="Terugbetalen à VROA "/>
    <x v="4"/>
    <s v="zoom maandabonnement"/>
    <x v="5"/>
  </r>
  <r>
    <n v="36"/>
    <s v="ACH"/>
    <d v="2023-03-01T00:00:00"/>
    <m/>
    <x v="3"/>
    <d v="2023-03-01T00:00:00"/>
    <d v="2023-03-01T00:00:00"/>
    <s v="2023 000478"/>
    <m/>
    <s v="CNOA"/>
    <s v="Rent exempt of VAT - Office - période 03/2023"/>
    <n v="2327.7399999999998"/>
    <d v="2023-03-27T00:00:00"/>
    <m/>
    <x v="2"/>
    <m/>
    <x v="5"/>
  </r>
  <r>
    <n v="37"/>
    <s v="ACH"/>
    <d v="2023-03-01T00:00:00"/>
    <m/>
    <x v="3"/>
    <d v="2023-03-01T00:00:00"/>
    <d v="2023-03-01T00:00:00"/>
    <s v="2023 000551 "/>
    <m/>
    <s v="CNOA"/>
    <s v="Rent exempt of VAT - Storage - période 03/2023"/>
    <n v="307.91000000000003"/>
    <d v="2023-03-27T00:00:00"/>
    <m/>
    <x v="2"/>
    <m/>
    <x v="5"/>
  </r>
  <r>
    <n v="38"/>
    <s v="ACH"/>
    <d v="2023-03-01T00:00:00"/>
    <m/>
    <x v="18"/>
    <d v="2023-03-01T00:00:00"/>
    <d v="2023-03-01T00:00:00"/>
    <s v="2023 000501"/>
    <m/>
    <s v="CNOA"/>
    <s v="Service Charge Provisions"/>
    <n v="445"/>
    <d v="2023-03-27T00:00:00"/>
    <m/>
    <x v="2"/>
    <m/>
    <x v="5"/>
  </r>
  <r>
    <n v="39"/>
    <s v="ACH"/>
    <d v="2023-03-01T00:00:00"/>
    <m/>
    <x v="19"/>
    <d v="2023-02-23T00:00:00"/>
    <d v="2023-02-23T00:00:00"/>
    <s v="2302 1806"/>
    <m/>
    <s v="CNOA"/>
    <s v="Licenties "/>
    <n v="326.7"/>
    <d v="2023-03-27T00:00:00"/>
    <m/>
    <x v="4"/>
    <m/>
    <x v="5"/>
  </r>
  <r>
    <n v="40"/>
    <s v="ACH"/>
    <d v="2023-03-02T00:00:00"/>
    <m/>
    <x v="20"/>
    <d v="2023-01-31T00:00:00"/>
    <d v="2023-01-31T00:00:00"/>
    <s v="90/2023/01002245"/>
    <m/>
    <s v="CNOA"/>
    <s v="Periode januari 2023"/>
    <n v="355.92"/>
    <d v="2023-03-27T00:00:00"/>
    <m/>
    <x v="16"/>
    <m/>
    <x v="5"/>
  </r>
  <r>
    <n v="41"/>
    <s v="ACH"/>
    <d v="2023-03-02T00:00:00"/>
    <m/>
    <x v="21"/>
    <d v="2023-02-11T00:00:00"/>
    <d v="2023-02-11T00:00:00"/>
    <s v="2023 07002396235"/>
    <m/>
    <s v="CNOA"/>
    <s v="Huisafval"/>
    <n v="53.15"/>
    <d v="2023-03-27T00:00:00"/>
    <m/>
    <x v="16"/>
    <s v="vuilophaling"/>
    <x v="5"/>
  </r>
  <r>
    <n v="42"/>
    <s v="ACH"/>
    <d v="2023-03-08T00:00:00"/>
    <m/>
    <x v="4"/>
    <d v="2023-03-03T00:00:00"/>
    <d v="2023-03-03T00:00:00"/>
    <s v="73022 88891 "/>
    <m/>
    <s v="CNOA"/>
    <s v="Vaste telefonie 02/03"/>
    <n v="80.02"/>
    <d v="2023-03-27T00:00:00"/>
    <m/>
    <x v="3"/>
    <m/>
    <x v="5"/>
  </r>
  <r>
    <n v="43"/>
    <s v="ACH"/>
    <d v="2023-03-03T00:00:00"/>
    <m/>
    <x v="5"/>
    <d v="2023-03-01T00:00:00"/>
    <d v="2023-03-01T00:00:00"/>
    <s v="F202300716"/>
    <m/>
    <s v="CNOA"/>
    <s v="VPS plan maart/2023"/>
    <n v="617.1"/>
    <d v="2023-03-27T00:00:00"/>
    <m/>
    <x v="4"/>
    <s v="server unieke lijst"/>
    <x v="5"/>
  </r>
  <r>
    <n v="44"/>
    <s v="ACH"/>
    <d v="2023-03-07T00:00:00"/>
    <m/>
    <x v="14"/>
    <d v="2023-02-28T00:00:00"/>
    <d v="2023-03-30T00:00:00"/>
    <s v="I_23-00373"/>
    <m/>
    <s v="CNOA"/>
    <s v="Elections ordinales électroniques 2023"/>
    <n v="1137.4000000000001"/>
    <d v="2023-03-27T00:00:00"/>
    <m/>
    <x v="12"/>
    <m/>
    <x v="5"/>
  </r>
  <r>
    <n v="45"/>
    <s v="ACH"/>
    <d v="2023-03-07T00:00:00"/>
    <m/>
    <x v="14"/>
    <d v="2023-02-28T00:00:00"/>
    <d v="2023-03-30T00:00:00"/>
    <s v="I_23-00374"/>
    <m/>
    <s v="CNOA"/>
    <s v="Elections ordinales électroniques 2023"/>
    <n v="1137.4000000000001"/>
    <d v="2023-03-27T00:00:00"/>
    <m/>
    <x v="12"/>
    <m/>
    <x v="5"/>
  </r>
  <r>
    <n v="46"/>
    <s v="ACH"/>
    <d v="2023-03-07T00:00:00"/>
    <m/>
    <x v="22"/>
    <d v="2023-03-03T00:00:00"/>
    <d v="2023-03-11T00:00:00"/>
    <s v="13 155 993"/>
    <m/>
    <s v="CNOA"/>
    <s v="Allerlei kantoormateriaal en kantine"/>
    <n v="469.5"/>
    <d v="2023-03-27T00:00:00"/>
    <m/>
    <x v="17"/>
    <m/>
    <x v="5"/>
  </r>
  <r>
    <n v="47"/>
    <s v="ACH "/>
    <d v="2023-03-07T00:00:00"/>
    <m/>
    <x v="14"/>
    <d v="2023-02-28T00:00:00"/>
    <d v="2023-03-30T00:00:00"/>
    <s v="I-23-00375"/>
    <m/>
    <s v="CNOA"/>
    <s v="Nationale raad van 17/02/23"/>
    <n v="1137.4000000000001"/>
    <d v="2023-03-27T00:00:00"/>
    <m/>
    <x v="12"/>
    <m/>
    <x v="5"/>
  </r>
  <r>
    <n v="48"/>
    <s v="ACH"/>
    <d v="2023-03-08T00:00:00"/>
    <m/>
    <x v="4"/>
    <d v="2023-03-03T00:00:00"/>
    <d v="2023-03-03T00:00:00"/>
    <n v="730228880"/>
    <m/>
    <s v="CNOA"/>
    <s v="Mobiel NDW"/>
    <n v="27.83"/>
    <s v="DOM"/>
    <m/>
    <x v="3"/>
    <m/>
    <x v="5"/>
  </r>
  <r>
    <n v="49"/>
    <s v="ACH"/>
    <d v="2023-03-09T00:00:00"/>
    <m/>
    <x v="23"/>
    <d v="2023-03-08T00:00:00"/>
    <d v="2023-03-08T00:00:00"/>
    <n v="4484604"/>
    <m/>
    <s v="CNOA"/>
    <s v="Batibouw 2023"/>
    <n v="475.59"/>
    <d v="2023-03-27T00:00:00"/>
    <m/>
    <x v="8"/>
    <m/>
    <x v="5"/>
  </r>
  <r>
    <n v="50"/>
    <s v="ACH"/>
    <d v="2023-03-14T00:00:00"/>
    <m/>
    <x v="18"/>
    <d v="2023-03-14T00:00:00"/>
    <d v="2023-03-14T00:00:00"/>
    <s v="2023 000 666"/>
    <m/>
    <s v="CNOA"/>
    <s v="Placement d'une boite à clefs"/>
    <n v="80"/>
    <d v="2023-03-27T00:00:00"/>
    <m/>
    <x v="16"/>
    <m/>
    <x v="5"/>
  </r>
  <r>
    <n v="51"/>
    <s v="ACH"/>
    <d v="2023-03-15T00:00:00"/>
    <m/>
    <x v="11"/>
    <d v="2023-03-13T00:00:00"/>
    <d v="2023-03-13T00:00:00"/>
    <n v="23053"/>
    <m/>
    <s v="CNOA"/>
    <s v="Facturation Brussels Expo "/>
    <n v="83.64"/>
    <d v="2023-03-27T00:00:00"/>
    <m/>
    <x v="8"/>
    <m/>
    <x v="5"/>
  </r>
  <r>
    <n v="52"/>
    <s v="ACH"/>
    <d v="2023-03-20T00:00:00"/>
    <m/>
    <x v="1"/>
    <d v="2023-03-16T00:00:00"/>
    <d v="2023-03-16T00:00:00"/>
    <s v="2023 03003450 "/>
    <m/>
    <s v="CNOA"/>
    <s v="Provison "/>
    <n v="49282.85"/>
    <s v="DOM"/>
    <m/>
    <x v="0"/>
    <s v="bedrijfsvoorheffing"/>
    <x v="5"/>
  </r>
  <r>
    <n v="53"/>
    <s v="ACH "/>
    <d v="2023-03-20T00:00:00"/>
    <m/>
    <x v="15"/>
    <d v="2023-03-16T00:00:00"/>
    <d v="2023-04-15T00:00:00"/>
    <s v="23073563"/>
    <m/>
    <s v="CNOA"/>
    <s v="Werknemersbijdrage"/>
    <n v="3695.97"/>
    <d v="2023-04-14T00:00:00"/>
    <m/>
    <x v="13"/>
    <m/>
    <x v="5"/>
  </r>
  <r>
    <n v="54"/>
    <s v="ACH"/>
    <d v="2023-03-23T00:00:00"/>
    <m/>
    <x v="8"/>
    <d v="2023-03-19T00:00:00"/>
    <d v="2023-03-19T00:00:00"/>
    <s v="709 611 135 423"/>
    <m/>
    <s v="CNOA"/>
    <s v="Afrekening Kartuizerstraat 19/4-6"/>
    <n v="902.02"/>
    <s v="DOM"/>
    <m/>
    <x v="7"/>
    <m/>
    <x v="5"/>
  </r>
  <r>
    <n v="55"/>
    <s v="ACH"/>
    <d v="2023-03-23T00:00:00"/>
    <m/>
    <x v="11"/>
    <d v="2023-03-23T00:00:00"/>
    <d v="2023-03-23T00:00:00"/>
    <s v="23066"/>
    <m/>
    <s v="CNOA"/>
    <s v="Batibouw"/>
    <n v="12512.8"/>
    <d v="2023-04-14T00:00:00"/>
    <m/>
    <x v="8"/>
    <m/>
    <x v="5"/>
  </r>
  <r>
    <n v="56"/>
    <s v="ACH"/>
    <d v="2023-03-27T00:00:00"/>
    <m/>
    <x v="1"/>
    <d v="2023-02-28T00:00:00"/>
    <d v="2023-03-28T00:00:00"/>
    <s v="2023 01005321"/>
    <m/>
    <s v="CNOA"/>
    <s v="précompte Professionnel"/>
    <n v="-0.71"/>
    <s v="BET"/>
    <m/>
    <x v="0"/>
    <s v="bedrijfsvoorheffing"/>
    <x v="5"/>
  </r>
  <r>
    <n v="57"/>
    <s v="ACH"/>
    <d v="2023-03-27T00:00:00"/>
    <m/>
    <x v="1"/>
    <d v="2023-02-28T00:00:00"/>
    <d v="2023-02-28T00:00:00"/>
    <s v="2023 13001450"/>
    <m/>
    <s v="CNOA"/>
    <s v="Frais de gestion Attentia"/>
    <n v="22.43"/>
    <s v="DOM"/>
    <m/>
    <x v="11"/>
    <m/>
    <x v="5"/>
  </r>
  <r>
    <n v="58"/>
    <s v="ACH"/>
    <d v="2023-03-27T00:00:00"/>
    <m/>
    <x v="1"/>
    <d v="2023-02-28T00:00:00"/>
    <d v="2023-02-28T00:00:00"/>
    <s v="2023 02006395"/>
    <m/>
    <s v="CNOA"/>
    <s v="Subvention PP secteur profit PME"/>
    <n v="1205.76"/>
    <s v="DOM"/>
    <m/>
    <x v="0"/>
    <s v="patronale bijdragen"/>
    <x v="5"/>
  </r>
  <r>
    <n v="59"/>
    <s v="ACH"/>
    <d v="2023-03-27T00:00:00"/>
    <m/>
    <x v="6"/>
    <d v="2023-03-31T00:00:00"/>
    <d v="2023-03-31T00:00:00"/>
    <s v="755535-A"/>
    <m/>
    <s v="CNOA"/>
    <s v="groepsverzekering NDW_maart 2023"/>
    <n v="443.55"/>
    <d v="2023-04-14T00:00:00"/>
    <m/>
    <x v="5"/>
    <m/>
    <x v="5"/>
  </r>
  <r>
    <n v="60"/>
    <s v="ACH"/>
    <d v="2023-01-05T00:00:00"/>
    <m/>
    <x v="24"/>
    <d v="2023-01-05T00:00:00"/>
    <d v="2023-01-05T00:00:00"/>
    <s v="Année 2022"/>
    <m/>
    <s v="CNOA"/>
    <s v="Gemeentebelasting 2022 Livourne "/>
    <n v="3536"/>
    <d v="2023-04-14T00:00:00"/>
    <m/>
    <x v="18"/>
    <m/>
    <x v="5"/>
  </r>
  <r>
    <n v="61"/>
    <s v="ACH"/>
    <d v="2023-04-06T00:00:00"/>
    <m/>
    <x v="4"/>
    <d v="2023-04-03T00:00:00"/>
    <d v="2023-04-03T00:00:00"/>
    <s v="73028 59050"/>
    <m/>
    <s v="CNOA"/>
    <s v="Mobiel NDW"/>
    <n v="27.83"/>
    <s v="DOM"/>
    <m/>
    <x v="3"/>
    <m/>
    <x v="5"/>
  </r>
  <r>
    <n v="62"/>
    <s v="ACH"/>
    <d v="2023-04-06T00:00:00"/>
    <m/>
    <x v="4"/>
    <d v="2023-04-03T00:00:00"/>
    <d v="2023-04-03T00:00:00"/>
    <s v="730285 9063 "/>
    <m/>
    <s v="CNOA"/>
    <s v="Vaste lijn NROA"/>
    <n v="87.77"/>
    <s v="BET "/>
    <m/>
    <x v="3"/>
    <m/>
    <x v="5"/>
  </r>
  <r>
    <n v="63"/>
    <s v="ACH"/>
    <d v="2023-04-04T00:00:00"/>
    <m/>
    <x v="0"/>
    <d v="2023-03-02T00:00:00"/>
    <d v="2023-03-02T00:00:00"/>
    <s v="42006800"/>
    <m/>
    <s v="CNOA"/>
    <s v="Periode 03-2023"/>
    <n v="107.42"/>
    <d v="2023-04-14T00:00:00"/>
    <m/>
    <x v="0"/>
    <s v="hospitalisatieverzekering"/>
    <x v="5"/>
  </r>
  <r>
    <n v="64"/>
    <s v="ACH"/>
    <d v="2023-03-29T00:00:00"/>
    <m/>
    <x v="25"/>
    <d v="2023-03-27T00:00:00"/>
    <d v="2023-03-27T00:00:00"/>
    <s v="2023-489"/>
    <m/>
    <s v="CNOA"/>
    <s v="Verschillende dossiers"/>
    <n v="3554.18"/>
    <d v="2023-04-14T00:00:00"/>
    <m/>
    <x v="15"/>
    <m/>
    <x v="5"/>
  </r>
  <r>
    <n v="65"/>
    <s v="ACH"/>
    <d v="2023-03-30T00:00:00"/>
    <m/>
    <x v="3"/>
    <d v="2023-04-01T00:00:00"/>
    <d v="2023-04-01T00:00:00"/>
    <s v="2023 000736"/>
    <m/>
    <s v="CNOA"/>
    <s v="Rent exempt of VAT - storage april 2023"/>
    <n v="307.91000000000003"/>
    <d v="2023-04-14T00:00:00"/>
    <m/>
    <x v="2"/>
    <m/>
    <x v="5"/>
  </r>
  <r>
    <n v="66"/>
    <s v="ACH"/>
    <d v="2023-03-29T00:00:00"/>
    <m/>
    <x v="10"/>
    <s v="28/03/203"/>
    <d v="2023-03-28T00:00:00"/>
    <s v="INV195110174"/>
    <m/>
    <s v="CNOA"/>
    <s v="Cloud recording "/>
    <n v="89.54"/>
    <s v="DOM"/>
    <s v="Terugbetalen à VROA "/>
    <x v="4"/>
    <s v="zoom maandabonnement"/>
    <x v="5"/>
  </r>
  <r>
    <n v="67"/>
    <s v="ACH"/>
    <d v="2023-04-03T00:00:00"/>
    <m/>
    <x v="9"/>
    <d v="2023-03-31T00:00:00"/>
    <d v="2023-03-31T00:00:00"/>
    <s v="2310181292"/>
    <m/>
    <s v="CNOA"/>
    <s v="Maaltijdcheques maart 2023"/>
    <n v="188.45"/>
    <s v="DOM"/>
    <m/>
    <x v="0"/>
    <s v="maaltijdcheques"/>
    <x v="5"/>
  </r>
  <r>
    <n v="68"/>
    <s v="ACH"/>
    <d v="2023-04-04T00:00:00"/>
    <m/>
    <x v="5"/>
    <d v="2023-04-01T00:00:00"/>
    <d v="2023-04-01T00:00:00"/>
    <s v="F202300867"/>
    <m/>
    <s v="CNOA"/>
    <s v="VPS plan april/2023"/>
    <n v="617.1"/>
    <d v="2023-04-14T00:00:00"/>
    <m/>
    <x v="4"/>
    <s v="server unieke lijst"/>
    <x v="5"/>
  </r>
  <r>
    <n v="69"/>
    <s v="ACH"/>
    <s v="5/04/203"/>
    <m/>
    <x v="19"/>
    <d v="2023-03-31T00:00:00"/>
    <d v="2023-03-31T00:00:00"/>
    <s v="23032123"/>
    <m/>
    <s v="CNOA"/>
    <s v="Rapid SSL certificaat"/>
    <n v="90.75"/>
    <d v="2023-04-14T00:00:00"/>
    <m/>
    <x v="4"/>
    <m/>
    <x v="5"/>
  </r>
  <r>
    <n v="70"/>
    <s v="ACH"/>
    <d v="2023-03-10T00:00:00"/>
    <m/>
    <x v="26"/>
    <d v="2020-03-30T00:00:00"/>
    <d v="2020-03-30T00:00:00"/>
    <s v="CVBA/2000696"/>
    <m/>
    <s v="CNOA "/>
    <s v="Dossier Belgische staat - Beroep tot nietigverklaring"/>
    <n v="8482.75"/>
    <d v="2023-04-14T00:00:00"/>
    <m/>
    <x v="15"/>
    <m/>
    <x v="5"/>
  </r>
  <r>
    <n v="71"/>
    <s v="ACH"/>
    <d v="2023-04-06T00:00:00"/>
    <m/>
    <x v="14"/>
    <d v="2023-03-31T00:00:00"/>
    <d v="2023-04-30T00:00:00"/>
    <s v="I_23-00495"/>
    <m/>
    <s v="CNOA"/>
    <s v="Prestaties NROA van 24/03"/>
    <n v="1137.4000000000001"/>
    <d v="2023-04-27T00:00:00"/>
    <m/>
    <x v="12"/>
    <m/>
    <x v="5"/>
  </r>
  <r>
    <n v="72"/>
    <s v="ACH"/>
    <d v="2023-04-06T00:00:00"/>
    <m/>
    <x v="1"/>
    <d v="2023-03-28T00:00:00"/>
    <d v="2023-04-27T00:00:00"/>
    <s v="VSS20232325447"/>
    <m/>
    <s v="CNOA"/>
    <s v="Payroll essentials"/>
    <n v="2593.5500000000002"/>
    <d v="2023-04-27T00:00:00"/>
    <m/>
    <x v="11"/>
    <s v="of bob + webhosting --&gt; Dots Attentia jaarabonnement"/>
    <x v="5"/>
  </r>
  <r>
    <n v="73"/>
    <s v="ACH"/>
    <d v="2023-04-07T00:00:00"/>
    <m/>
    <x v="0"/>
    <d v="2023-02-02T00:00:00"/>
    <d v="2023-02-02T00:00:00"/>
    <s v="42006800"/>
    <m/>
    <s v="CNOA"/>
    <s v="Periode 02-2023"/>
    <n v="53.71"/>
    <s v="BET"/>
    <m/>
    <x v="0"/>
    <s v="hospitalisatieverzekering"/>
    <x v="5"/>
  </r>
  <r>
    <n v="74"/>
    <s v="ACH"/>
    <d v="2023-04-07T00:00:00"/>
    <m/>
    <x v="27"/>
    <d v="2023-04-07T00:00:00"/>
    <d v="2023-04-07T00:00:00"/>
    <s v="BED2023040573"/>
    <m/>
    <s v="CNOA"/>
    <s v="Certificaten opstart project"/>
    <n v="287.98"/>
    <d v="2023-04-27T00:00:00"/>
    <m/>
    <x v="4"/>
    <m/>
    <x v="5"/>
  </r>
  <r>
    <n v="75"/>
    <s v="ACH"/>
    <d v="2023-04-12T00:00:00"/>
    <m/>
    <x v="0"/>
    <d v="2023-04-06T00:00:00"/>
    <d v="2023-04-06T00:00:00"/>
    <s v="42006800"/>
    <m/>
    <s v="CNOA"/>
    <s v="Periode 04-2023"/>
    <n v="53.71"/>
    <d v="2023-04-27T00:00:00"/>
    <m/>
    <x v="0"/>
    <s v="hospitalisatieverzekering"/>
    <x v="5"/>
  </r>
  <r>
    <n v="76"/>
    <s v="ACH"/>
    <d v="2023-04-12T00:00:00"/>
    <m/>
    <x v="13"/>
    <d v="2023-04-04T00:00:00"/>
    <d v="2023-04-04T00:00:00"/>
    <s v="2023 18040365"/>
    <m/>
    <s v="CNOA"/>
    <s v="1e trimester 2023"/>
    <n v="41.1"/>
    <d v="2023-04-27T00:00:00"/>
    <m/>
    <x v="10"/>
    <s v="verbruik kopieën"/>
    <x v="5"/>
  </r>
  <r>
    <n v="77"/>
    <s v="ACH"/>
    <d v="2023-04-14T00:00:00"/>
    <m/>
    <x v="28"/>
    <d v="2023-04-14T00:00:00"/>
    <d v="2023-04-14T00:00:00"/>
    <s v="1917 898302 "/>
    <m/>
    <s v="CNOA"/>
    <s v="Aankoop mini-router en switch poorten"/>
    <n v="61.98"/>
    <s v="BET"/>
    <m/>
    <x v="19"/>
    <m/>
    <x v="5"/>
  </r>
  <r>
    <n v="78"/>
    <s v="ACH"/>
    <d v="2023-04-18T00:00:00"/>
    <m/>
    <x v="29"/>
    <d v="2023-04-18T00:00:00"/>
    <d v="2023-04-18T00:00:00"/>
    <s v="92/2022/762"/>
    <m/>
    <s v="CNOA"/>
    <s v="Broodjes standbemanners Batibouw "/>
    <n v="29.15"/>
    <d v="2023-04-27T00:00:00"/>
    <m/>
    <x v="20"/>
    <m/>
    <x v="5"/>
  </r>
  <r>
    <n v="79"/>
    <s v="ACH"/>
    <d v="2023-04-18T00:00:00"/>
    <m/>
    <x v="29"/>
    <d v="2023-04-18T00:00:00"/>
    <d v="2023-04-18T00:00:00"/>
    <s v="92/2022/743"/>
    <m/>
    <s v="CNOA"/>
    <s v="Broodjes standbemanners Batibouw "/>
    <n v="29.15"/>
    <d v="2023-04-27T00:00:00"/>
    <m/>
    <x v="20"/>
    <m/>
    <x v="5"/>
  </r>
  <r>
    <n v="80"/>
    <s v="ACH"/>
    <d v="2023-04-18T00:00:00"/>
    <m/>
    <x v="29"/>
    <d v="2023-04-18T00:00:00"/>
    <d v="2023-04-18T00:00:00"/>
    <s v="92/2022/722"/>
    <m/>
    <s v="CNOA"/>
    <s v="Broodjes standbemanners Batibouw "/>
    <n v="29.15"/>
    <d v="2023-04-27T00:00:00"/>
    <m/>
    <x v="20"/>
    <m/>
    <x v="5"/>
  </r>
  <r>
    <n v="81"/>
    <s v="ACH"/>
    <d v="2023-04-18T00:00:00"/>
    <m/>
    <x v="29"/>
    <d v="2023-04-18T00:00:00"/>
    <d v="2023-04-18T00:00:00"/>
    <s v="92/2022/702"/>
    <m/>
    <s v="CNOA"/>
    <s v="Broodjes standbemanners Batibouw "/>
    <n v="29.15"/>
    <d v="2023-04-27T00:00:00"/>
    <m/>
    <x v="20"/>
    <m/>
    <x v="5"/>
  </r>
  <r>
    <n v="82"/>
    <s v="ACH"/>
    <d v="2023-04-18T00:00:00"/>
    <m/>
    <x v="29"/>
    <d v="2023-04-18T00:00:00"/>
    <d v="2023-04-18T00:00:00"/>
    <s v="92/2022/688"/>
    <m/>
    <s v="CNOA"/>
    <s v="Broodjes standbemanners Batibouw "/>
    <n v="29.15"/>
    <d v="2023-04-27T00:00:00"/>
    <m/>
    <x v="20"/>
    <m/>
    <x v="5"/>
  </r>
  <r>
    <n v="83"/>
    <s v="ACH"/>
    <d v="2023-04-18T00:00:00"/>
    <m/>
    <x v="29"/>
    <d v="2023-04-18T00:00:00"/>
    <d v="2023-04-18T00:00:00"/>
    <s v="92/2022/670"/>
    <m/>
    <s v="CNOA"/>
    <s v="Broodjes standbemanners Batibouw "/>
    <n v="29.15"/>
    <d v="2023-04-27T00:00:00"/>
    <m/>
    <x v="20"/>
    <m/>
    <x v="5"/>
  </r>
  <r>
    <n v="84"/>
    <s v="ACH"/>
    <d v="2023-04-18T00:00:00"/>
    <m/>
    <x v="1"/>
    <d v="2023-04-17T00:00:00"/>
    <d v="2023-04-18T00:00:00"/>
    <s v="2023 04001083 "/>
    <m/>
    <s v="CNOA"/>
    <s v="provison Onss"/>
    <n v="69242.92"/>
    <s v="DOM"/>
    <m/>
    <x v="0"/>
    <s v="bedrijfsvoorheffing"/>
    <x v="5"/>
  </r>
  <r>
    <n v="85"/>
    <s v="ACH"/>
    <d v="2023-04-18T00:00:00"/>
    <m/>
    <x v="1"/>
    <d v="2023-04-17T00:00:00"/>
    <d v="2023-04-18T00:00:00"/>
    <s v="2023 03010224"/>
    <m/>
    <s v="CNOA"/>
    <s v="Afrekening RSZ_eerste kwartaal 2023"/>
    <n v="66239.78"/>
    <s v="DOM"/>
    <m/>
    <x v="0"/>
    <s v="bedrijfsvoorheffing"/>
    <x v="5"/>
  </r>
  <r>
    <n v="86"/>
    <s v="ACH"/>
    <d v="2023-04-20T00:00:00"/>
    <m/>
    <x v="20"/>
    <d v="2023-03-31T00:00:00"/>
    <d v="2023-03-31T00:00:00"/>
    <s v="90/2023/03002051"/>
    <m/>
    <s v="CNOA"/>
    <s v="Prestaties maart 2023"/>
    <n v="142.37"/>
    <d v="2023-05-12T00:00:00"/>
    <m/>
    <x v="16"/>
    <m/>
    <x v="5"/>
  </r>
  <r>
    <n v="87"/>
    <s v="ACH"/>
    <d v="2023-04-21T00:00:00"/>
    <m/>
    <x v="8"/>
    <d v="2023-04-19T00:00:00"/>
    <d v="2023-04-19T00:00:00"/>
    <s v="709 371 112 703"/>
    <m/>
    <s v="CNOA"/>
    <s v="Verbruik Kartuizersttraat "/>
    <n v="118.5"/>
    <s v="DOM"/>
    <m/>
    <x v="7"/>
    <m/>
    <x v="5"/>
  </r>
  <r>
    <n v="88"/>
    <s v="ACH"/>
    <d v="2023-04-26T00:00:00"/>
    <m/>
    <x v="30"/>
    <d v="2023-04-26T00:00:00"/>
    <d v="2023-05-26T00:00:00"/>
    <s v="12023047163"/>
    <m/>
    <s v="CNOA"/>
    <s v="Reprobel 2023"/>
    <n v="169600"/>
    <d v="2023-05-12T00:00:00"/>
    <m/>
    <x v="21"/>
    <m/>
    <x v="5"/>
  </r>
  <r>
    <n v="89"/>
    <s v="ACH"/>
    <d v="2023-05-02T00:00:00"/>
    <m/>
    <x v="9"/>
    <d v="2023-04-28T00:00:00"/>
    <d v="2023-04-28T00:00:00"/>
    <s v="2310239023"/>
    <m/>
    <s v="CNOA"/>
    <s v="Maaltijdcheques periode 04/23"/>
    <n v="114.71"/>
    <s v="DOM"/>
    <m/>
    <x v="0"/>
    <s v="maaltijdcheques"/>
    <x v="5"/>
  </r>
  <r>
    <n v="90"/>
    <s v="ACH"/>
    <d v="2023-05-02T00:00:00"/>
    <m/>
    <x v="5"/>
    <d v="2023-05-01T00:00:00"/>
    <d v="2023-05-01T00:00:00"/>
    <s v="F202301006"/>
    <m/>
    <s v="CNOA"/>
    <s v="VPS plan periode mei 2023"/>
    <n v="617.1"/>
    <d v="2023-05-12T00:00:00"/>
    <m/>
    <x v="4"/>
    <s v="server unieke lijst"/>
    <x v="5"/>
  </r>
  <r>
    <n v="91"/>
    <s v="ACH"/>
    <d v="2023-05-02T00:00:00"/>
    <m/>
    <x v="31"/>
    <d v="2023-05-01T00:00:00"/>
    <d v="2023-05-01T00:00:00"/>
    <s v="2023000912"/>
    <m/>
    <s v="CNOA "/>
    <s v="Rent storage Koningstraat 05/23"/>
    <n v="307.91000000000003"/>
    <d v="2023-05-12T00:00:00"/>
    <m/>
    <x v="2"/>
    <m/>
    <x v="5"/>
  </r>
  <r>
    <n v="92"/>
    <s v="ACH"/>
    <d v="2023-05-02T00:00:00"/>
    <m/>
    <x v="10"/>
    <d v="2023-04-28T00:00:00"/>
    <d v="2023-03-28T00:00:00"/>
    <s v="INV199672911"/>
    <m/>
    <s v="CNOA"/>
    <s v="Cloud recording 04-23"/>
    <n v="89.54"/>
    <s v="DOM"/>
    <s v="Terugbetalen à VROA "/>
    <x v="4"/>
    <s v="zoom maandabonnement"/>
    <x v="5"/>
  </r>
  <r>
    <n v="93"/>
    <s v="ACH"/>
    <d v="2023-05-03T00:00:00"/>
    <m/>
    <x v="32"/>
    <d v="2023-04-28T00:00:00"/>
    <d v="2023-04-28T00:00:00"/>
    <s v="47/2023"/>
    <m/>
    <s v="CNOA"/>
    <s v="Participation fee GA23/1"/>
    <n v="677.6"/>
    <d v="2023-05-12T00:00:00"/>
    <m/>
    <x v="22"/>
    <m/>
    <x v="5"/>
  </r>
  <r>
    <n v="94"/>
    <s v="ACH"/>
    <d v="2023-05-17T00:00:00"/>
    <m/>
    <x v="1"/>
    <d v="2023-05-09T00:00:00"/>
    <d v="2023-05-09T00:00:00"/>
    <s v="2023 05001782 "/>
    <m/>
    <s v="CNOA"/>
    <s v="Groepsverzekering"/>
    <n v="128.1"/>
    <s v="DOM"/>
    <m/>
    <x v="0"/>
    <s v="zou in lonen moeten zitten"/>
    <x v="5"/>
  </r>
  <r>
    <n v="95"/>
    <s v="ACH"/>
    <d v="2023-05-17T00:00:00"/>
    <m/>
    <x v="1"/>
    <d v="2023-04-26T00:00:00"/>
    <d v="2023-04-26T00:00:00"/>
    <s v="2023 04002922"/>
    <m/>
    <s v="CNOA"/>
    <s v="précompte Professionnel"/>
    <n v="332.23"/>
    <s v="DOM"/>
    <m/>
    <x v="0"/>
    <s v="bedrijfsvoorheffing"/>
    <x v="5"/>
  </r>
  <r>
    <n v="96"/>
    <s v="ACH"/>
    <d v="2023-05-17T00:00:00"/>
    <m/>
    <x v="1"/>
    <d v="2023-04-30T00:00:00"/>
    <d v="2023-04-30T00:00:00"/>
    <s v="2023 04004355"/>
    <m/>
    <s v="CNOA"/>
    <s v="précompte Professionnel"/>
    <n v="1205.76"/>
    <s v="DOM"/>
    <m/>
    <x v="0"/>
    <s v="patronale bijdragen"/>
    <x v="5"/>
  </r>
  <r>
    <n v="97"/>
    <s v="ACH"/>
    <d v="2023-05-17T00:00:00"/>
    <m/>
    <x v="1"/>
    <d v="2023-04-30T00:00:00"/>
    <d v="2023-04-30T00:00:00"/>
    <s v="2023 13003883"/>
    <m/>
    <s v="CNOA"/>
    <s v="Frais de gestion Attentia"/>
    <n v="20.39"/>
    <s v="DOM"/>
    <m/>
    <x v="11"/>
    <m/>
    <x v="5"/>
  </r>
  <r>
    <n v="98"/>
    <s v="ACH"/>
    <d v="2023-05-17T00:00:00"/>
    <m/>
    <x v="1"/>
    <d v="2023-03-31T00:00:00"/>
    <d v="2023-03-31T00:00:00"/>
    <s v="2023 13003182"/>
    <m/>
    <s v="CNOA"/>
    <s v="Frais de gestion Attentia"/>
    <n v="20.39"/>
    <s v="DOM"/>
    <m/>
    <x v="11"/>
    <m/>
    <x v="5"/>
  </r>
  <r>
    <n v="99"/>
    <s v="ACH"/>
    <d v="2023-05-17T00:00:00"/>
    <m/>
    <x v="1"/>
    <d v="2023-03-31T00:00:00"/>
    <d v="2023-03-31T00:00:00"/>
    <s v="2023 03005510"/>
    <m/>
    <s v="CNOA"/>
    <s v="précompte Professionnel"/>
    <n v="1205.76"/>
    <s v="DOM"/>
    <m/>
    <x v="0"/>
    <s v="patronale bijdragen"/>
    <x v="5"/>
  </r>
  <r>
    <n v="100"/>
    <s v="ACH"/>
    <d v="2023-05-04T00:00:00"/>
    <m/>
    <x v="4"/>
    <d v="2023-05-03T00:00:00"/>
    <d v="2023-05-03T00:00:00"/>
    <s v="7303 408931"/>
    <m/>
    <s v="CNOA"/>
    <s v="Mobiel NDW"/>
    <n v="27.83"/>
    <s v="DOM"/>
    <m/>
    <x v="3"/>
    <m/>
    <x v="5"/>
  </r>
  <r>
    <n v="101"/>
    <s v="ACH"/>
    <d v="2023-05-04T00:00:00"/>
    <m/>
    <x v="4"/>
    <d v="2023-05-03T00:00:00"/>
    <d v="2023-05-03T00:00:00"/>
    <s v="7303 408947"/>
    <m/>
    <s v="CNOA"/>
    <s v="Vaste telefonie april/mei"/>
    <n v="119.4"/>
    <s v="BET"/>
    <d v="2023-05-05T00:00:00"/>
    <x v="3"/>
    <m/>
    <x v="5"/>
  </r>
  <r>
    <n v="102"/>
    <s v="ACH"/>
    <d v="2023-05-04T00:00:00"/>
    <m/>
    <x v="14"/>
    <d v="2023-04-30T00:00:00"/>
    <d v="2023-05-30T00:00:00"/>
    <s v="I_23-00727"/>
    <m/>
    <s v="CNOA"/>
    <s v="Prestaties NROA van 19/04/2023"/>
    <n v="1137.4000000000001"/>
    <d v="2023-06-09T00:00:00"/>
    <m/>
    <x v="12"/>
    <m/>
    <x v="5"/>
  </r>
  <r>
    <n v="103"/>
    <s v="ACH"/>
    <d v="2023-05-12T00:00:00"/>
    <m/>
    <x v="33"/>
    <d v="2023-05-12T00:00:00"/>
    <d v="2023-05-12T00:00:00"/>
    <s v="2023 001031"/>
    <m/>
    <s v="CNOA"/>
    <s v="Property Taks periode 01/22-31/22"/>
    <n v="1265.1199999999999"/>
    <d v="2023-06-09T00:00:00"/>
    <m/>
    <x v="23"/>
    <m/>
    <x v="5"/>
  </r>
  <r>
    <n v="104"/>
    <s v="ACH"/>
    <d v="2023-05-15T00:00:00"/>
    <m/>
    <x v="21"/>
    <d v="2023-05-15T00:00:00"/>
    <d v="2023-05-23T00:00:00"/>
    <s v="2023 07002440665"/>
    <m/>
    <s v="CNOA "/>
    <s v="Huisafval Livorno - contract 1438 période 01/05/23 - 23-07/23"/>
    <n v="53.15"/>
    <d v="2023-06-09T00:00:00"/>
    <m/>
    <x v="16"/>
    <s v="vuilophaling"/>
    <x v="5"/>
  </r>
  <r>
    <n v="105"/>
    <s v="ACH"/>
    <d v="2023-05-22T00:00:00"/>
    <m/>
    <x v="0"/>
    <d v="2023-05-10T00:00:00"/>
    <d v="2023-05-10T00:00:00"/>
    <s v="42006800 - 03"/>
    <m/>
    <s v="CNOA"/>
    <s v="periode 05-2023"/>
    <n v="53.71"/>
    <d v="2023-06-09T00:00:00"/>
    <m/>
    <x v="0"/>
    <s v="hospitalisatieverzekering"/>
    <x v="5"/>
  </r>
  <r>
    <n v="106"/>
    <s v="ACH"/>
    <d v="2023-05-23T00:00:00"/>
    <m/>
    <x v="8"/>
    <d v="2023-05-20T00:00:00"/>
    <d v="2023-05-20T00:00:00"/>
    <s v="707 049 731 061"/>
    <m/>
    <s v="CNOA"/>
    <s v="Ean 541448920709776973"/>
    <n v="118.5"/>
    <s v="DOM"/>
    <m/>
    <x v="7"/>
    <m/>
    <x v="5"/>
  </r>
  <r>
    <n v="107"/>
    <s v="ACH"/>
    <d v="2023-04-03T00:00:00"/>
    <m/>
    <x v="34"/>
    <d v="2022-12-16T00:00:00"/>
    <d v="2022-12-16T00:00:00"/>
    <s v="21 0017 N"/>
    <m/>
    <s v="CNOA"/>
    <s v="Droit de mise au rôle jugement du 16/2/2020 "/>
    <n v="975"/>
    <s v="BET"/>
    <s v="ok"/>
    <x v="0"/>
    <m/>
    <x v="5"/>
  </r>
  <r>
    <n v="108"/>
    <s v="ACH"/>
    <d v="2023-05-31T00:00:00"/>
    <m/>
    <x v="10"/>
    <d v="2023-05-28T00:00:00"/>
    <d v="2023-05-28T00:00:00"/>
    <s v="INV204030778"/>
    <m/>
    <s v="CNOA"/>
    <s v="Cloud recording"/>
    <n v="89.54"/>
    <s v="DOM"/>
    <s v="Terugbetalen à VROA "/>
    <x v="4"/>
    <s v="zoom maandabonnement"/>
    <x v="5"/>
  </r>
  <r>
    <n v="109"/>
    <s v="ACH"/>
    <d v="2023-05-31T00:00:00"/>
    <m/>
    <x v="6"/>
    <s v="31/05/22023"/>
    <d v="2023-05-31T00:00:00"/>
    <s v="10/1338/14317"/>
    <m/>
    <s v="CNOA"/>
    <s v="Groepsverzekering periode mei-2023"/>
    <n v="493.18"/>
    <d v="2023-06-09T00:00:00"/>
    <m/>
    <x v="5"/>
    <m/>
    <x v="5"/>
  </r>
  <r>
    <n v="110"/>
    <s v="ACH"/>
    <d v="2023-05-31T00:00:00"/>
    <m/>
    <x v="1"/>
    <d v="2023-05-17T00:00:00"/>
    <d v="2023-05-17T00:00:00"/>
    <s v="2023 05004245"/>
    <m/>
    <s v="CNOA"/>
    <s v="  Provision ONSS"/>
    <n v="69242.92"/>
    <s v="DOM"/>
    <m/>
    <x v="0"/>
    <s v="bedrijfsvoorheffing"/>
    <x v="5"/>
  </r>
  <r>
    <n v="111"/>
    <s v="ACH"/>
    <d v="2023-05-31T00:00:00"/>
    <m/>
    <x v="9"/>
    <d v="2023-05-31T00:00:00"/>
    <d v="2023-05-31T00:00:00"/>
    <s v="23 10305141"/>
    <m/>
    <s v="CNOA"/>
    <s v="Maaltijdcheques NDW periode mei 2023"/>
    <n v="163.87"/>
    <s v="DOM"/>
    <m/>
    <x v="0"/>
    <s v="maaltijdcheques"/>
    <x v="5"/>
  </r>
  <r>
    <n v="112"/>
    <s v="ACH"/>
    <d v="2023-06-01T00:00:00"/>
    <m/>
    <x v="33"/>
    <d v="2023-06-01T00:00:00"/>
    <d v="2023-06-01T00:00:00"/>
    <s v="2023 001171"/>
    <m/>
    <s v="CNOA"/>
    <s v="Rent exempt of VAT - storage Rue Royale periode 06/23 -30/06/23"/>
    <n v="307.91000000000003"/>
    <d v="2023-06-09T00:00:00"/>
    <m/>
    <x v="2"/>
    <m/>
    <x v="5"/>
  </r>
  <r>
    <n v="113"/>
    <s v="ACH"/>
    <d v="2023-06-01T00:00:00"/>
    <m/>
    <x v="35"/>
    <d v="2023-05-31T00:00:00"/>
    <d v="2023-05-31T00:00:00"/>
    <s v="2304 00869"/>
    <m/>
    <s v="CNOA"/>
    <s v="Audit 2022"/>
    <n v="16940"/>
    <d v="2023-06-09T00:00:00"/>
    <m/>
    <x v="24"/>
    <m/>
    <x v="5"/>
  </r>
  <r>
    <n v="114"/>
    <s v="ACH"/>
    <d v="2023-06-01T00:00:00"/>
    <m/>
    <x v="5"/>
    <d v="2023-06-01T00:00:00"/>
    <d v="2023-06-01T00:00:00"/>
    <s v="F2023 01126"/>
    <m/>
    <s v="CNOA"/>
    <s v="VPS plan periode juni 2023"/>
    <n v="617.1"/>
    <d v="2023-06-09T00:00:00"/>
    <m/>
    <x v="4"/>
    <s v="server unieke lijst"/>
    <x v="5"/>
  </r>
  <r>
    <n v="115"/>
    <s v="ACH"/>
    <d v="2023-06-14T00:00:00"/>
    <m/>
    <x v="14"/>
    <d v="2023-03-31T00:00:00"/>
    <d v="2023-04-30T00:00:00"/>
    <s v="I_23-00494"/>
    <m/>
    <s v="CNOA"/>
    <s v="Comité de suivi - elections ordinales électroniques 8-22/03/2023"/>
    <n v="2274.8000000000002"/>
    <d v="2023-06-23T00:00:00"/>
    <m/>
    <x v="12"/>
    <m/>
    <x v="5"/>
  </r>
  <r>
    <n v="116"/>
    <s v="ACH"/>
    <d v="2023-06-06T00:00:00"/>
    <m/>
    <x v="36"/>
    <d v="2023-06-06T00:00:00"/>
    <d v="2023-06-06T00:00:00"/>
    <s v="2023 001305"/>
    <m/>
    <s v="CNOA"/>
    <s v="Service Charge Provisions 04-23"/>
    <n v="890"/>
    <d v="2023-06-23T00:00:00"/>
    <m/>
    <x v="2"/>
    <m/>
    <x v="5"/>
  </r>
  <r>
    <n v="117"/>
    <s v="ACH"/>
    <d v="2023-06-06T00:00:00"/>
    <m/>
    <x v="3"/>
    <d v="2023-06-06T00:00:00"/>
    <d v="2023-06-06T00:00:00"/>
    <s v="2023 001220"/>
    <m/>
    <s v="CNOA"/>
    <s v="Rent exempt of VAT - office periode 04/2023"/>
    <n v="2327.7399999999998"/>
    <d v="2023-06-23T00:00:00"/>
    <m/>
    <x v="2"/>
    <m/>
    <x v="5"/>
  </r>
  <r>
    <n v="118"/>
    <s v="ACH"/>
    <d v="2023-06-06T00:00:00"/>
    <m/>
    <x v="3"/>
    <d v="2023-06-06T00:00:00"/>
    <d v="2023-06-06T00:00:00"/>
    <s v="2023 001221"/>
    <m/>
    <s v="CNOA"/>
    <s v="Rent of vat - Office  - periode 05/2023"/>
    <n v="2327.7399999999998"/>
    <d v="2023-06-23T00:00:00"/>
    <m/>
    <x v="2"/>
    <m/>
    <x v="5"/>
  </r>
  <r>
    <n v="119"/>
    <s v="ACH"/>
    <d v="2023-06-06T00:00:00"/>
    <m/>
    <x v="36"/>
    <d v="2023-06-06T00:00:00"/>
    <d v="2023-06-06T00:00:00"/>
    <s v="2023 001306"/>
    <m/>
    <s v="CNOA"/>
    <s v="Service charge Provsions (est) - Periode 06/2023"/>
    <n v="445"/>
    <d v="2023-06-23T00:00:00"/>
    <m/>
    <x v="2"/>
    <m/>
    <x v="5"/>
  </r>
  <r>
    <n v="120"/>
    <s v="ACH"/>
    <d v="2023-06-06T00:00:00"/>
    <m/>
    <x v="3"/>
    <d v="2023-06-06T00:00:00"/>
    <d v="2023-06-06T00:00:00"/>
    <s v="2023 001222"/>
    <m/>
    <s v="CNOA"/>
    <s v="Rent of exempt f VAT - office periode 06/2023"/>
    <n v="2327.7399999999998"/>
    <d v="2023-06-23T00:00:00"/>
    <m/>
    <x v="2"/>
    <m/>
    <x v="5"/>
  </r>
  <r>
    <n v="121"/>
    <s v="ACH"/>
    <d v="2023-06-07T00:00:00"/>
    <m/>
    <x v="22"/>
    <d v="2023-06-02T00:00:00"/>
    <d v="2023-06-02T00:00:00"/>
    <s v="13 272 486"/>
    <m/>
    <s v="CNOA"/>
    <s v="Kantine en bureaumateriaal "/>
    <n v="371.57"/>
    <d v="2023-06-23T00:00:00"/>
    <m/>
    <x v="17"/>
    <m/>
    <x v="5"/>
  </r>
  <r>
    <n v="122"/>
    <s v="ACH"/>
    <d v="2023-06-03T00:00:00"/>
    <m/>
    <x v="4"/>
    <d v="2023-06-03T00:00:00"/>
    <d v="2023-06-03T00:00:00"/>
    <s v="73 03977923"/>
    <m/>
    <s v="CNOA"/>
    <s v="Mobiel NDW"/>
    <n v="27.83"/>
    <s v="DOM"/>
    <m/>
    <x v="3"/>
    <m/>
    <x v="5"/>
  </r>
  <r>
    <n v="123"/>
    <s v="ACH"/>
    <d v="2023-06-08T00:00:00"/>
    <m/>
    <x v="4"/>
    <d v="2023-06-03T00:00:00"/>
    <d v="2023-06-18T00:00:00"/>
    <s v="73 03977939"/>
    <m/>
    <s v="CNOA"/>
    <s v="Vast toestel NROA"/>
    <n v="81.849999999999994"/>
    <s v="BET"/>
    <d v="2023-06-15T00:00:00"/>
    <x v="3"/>
    <m/>
    <x v="5"/>
  </r>
  <r>
    <n v="124"/>
    <s v="ACH"/>
    <d v="2023-06-09T00:00:00"/>
    <m/>
    <x v="14"/>
    <d v="2023-05-31T00:00:00"/>
    <d v="2023-06-30T00:00:00"/>
    <s v="I_23-00959"/>
    <m/>
    <s v="CNOA"/>
    <s v="NROA 8/06/2023"/>
    <n v="992.2"/>
    <d v="2023-06-23T00:00:00"/>
    <m/>
    <x v="12"/>
    <m/>
    <x v="5"/>
  </r>
  <r>
    <n v="125"/>
    <s v="ACH"/>
    <d v="2023-06-12T00:00:00"/>
    <m/>
    <x v="6"/>
    <d v="2023-04-30T00:00:00"/>
    <d v="2023-04-30T00:00:00"/>
    <s v="310/1332/96981"/>
    <m/>
    <s v="CNOA"/>
    <s v="Periode 04/2023"/>
    <n v="642.07000000000005"/>
    <s v="BET"/>
    <m/>
    <x v="5"/>
    <m/>
    <x v="5"/>
  </r>
  <r>
    <n v="126"/>
    <s v="ACH"/>
    <d v="2023-06-14T00:00:00"/>
    <m/>
    <x v="14"/>
    <d v="2023-05-31T00:00:00"/>
    <d v="2023-06-30T00:00:00"/>
    <s v="I_23-00960"/>
    <m/>
    <s v="CNOA"/>
    <s v="Réunion stratégique"/>
    <n v="1421.75"/>
    <d v="2023-06-23T00:00:00"/>
    <m/>
    <x v="12"/>
    <m/>
    <x v="5"/>
  </r>
  <r>
    <n v="127"/>
    <s v="ACH"/>
    <d v="2023-06-19T00:00:00"/>
    <m/>
    <x v="20"/>
    <d v="2023-05-31T00:00:00"/>
    <d v="2023-05-31T00:00:00"/>
    <s v="90/2023/05001595"/>
    <m/>
    <s v="CNOA"/>
    <s v="Prestations de mai 2023"/>
    <n v="71.180000000000007"/>
    <d v="2023-06-30T00:00:00"/>
    <m/>
    <x v="16"/>
    <m/>
    <x v="5"/>
  </r>
  <r>
    <n v="128"/>
    <s v="ACH"/>
    <d v="2023-06-19T00:00:00"/>
    <m/>
    <x v="12"/>
    <d v="2023-06-03T00:00:00"/>
    <d v="2023-06-03T00:00:00"/>
    <s v="500/0823/59440"/>
    <m/>
    <s v="CNOA"/>
    <s v="Ideal Accidents periode van 01/07-30/09"/>
    <n v="71.959999999999994"/>
    <d v="2023-06-30T00:00:00"/>
    <m/>
    <x v="5"/>
    <m/>
    <x v="5"/>
  </r>
  <r>
    <n v="129"/>
    <s v="ACH"/>
    <d v="2023-06-22T00:00:00"/>
    <m/>
    <x v="1"/>
    <d v="2023-05-31T00:00:00"/>
    <s v="31/0/2023"/>
    <s v="2023 13005128"/>
    <m/>
    <s v="CNOA"/>
    <s v="Frais de gestion Attentia"/>
    <n v="74.84"/>
    <s v="DOM"/>
    <m/>
    <x v="11"/>
    <m/>
    <x v="5"/>
  </r>
  <r>
    <n v="130"/>
    <s v="ACH"/>
    <d v="2023-06-22T00:00:00"/>
    <m/>
    <x v="1"/>
    <d v="2023-05-31T00:00:00"/>
    <d v="2023-05-31T00:00:00"/>
    <s v="2023 05005546"/>
    <m/>
    <s v="CNOA"/>
    <s v="Subvention PP secteur profit PME"/>
    <n v="3019.46"/>
    <s v="DOM"/>
    <m/>
    <x v="0"/>
    <s v="patronale bijdragen"/>
    <x v="5"/>
  </r>
  <r>
    <n v="131"/>
    <s v="ACH"/>
    <d v="2023-06-22T00:00:00"/>
    <m/>
    <x v="1"/>
    <d v="2023-06-19T00:00:00"/>
    <d v="2023-06-19T00:00:00"/>
    <s v="2023 06004179"/>
    <m/>
    <s v="CNOA"/>
    <s v="Provisions Onss"/>
    <n v="57702.43"/>
    <s v="DOM"/>
    <m/>
    <x v="0"/>
    <s v="bedrijfsvoorheffing"/>
    <x v="5"/>
  </r>
  <r>
    <n v="132"/>
    <s v="ACH"/>
    <d v="2023-06-22T00:00:00"/>
    <m/>
    <x v="6"/>
    <d v="2023-06-30T00:00:00"/>
    <d v="2023-06-30T00:00:00"/>
    <s v="310/1344/98569"/>
    <m/>
    <s v="CNOA"/>
    <s v="Periode 05/2023"/>
    <n v="493.18"/>
    <d v="2023-06-30T00:00:00"/>
    <m/>
    <x v="5"/>
    <m/>
    <x v="5"/>
  </r>
  <r>
    <n v="133"/>
    <s v="ACH"/>
    <d v="2023-06-26T00:00:00"/>
    <m/>
    <x v="16"/>
    <d v="2023-06-23T00:00:00"/>
    <d v="2023-06-23T00:00:00"/>
    <s v="5403043/0932272"/>
    <m/>
    <s v="CNOA"/>
    <s v="Assurance des Cyber-Risques"/>
    <n v="3280"/>
    <d v="2023-06-30T00:00:00"/>
    <m/>
    <x v="25"/>
    <m/>
    <x v="5"/>
  </r>
  <r>
    <n v="134"/>
    <s v="ACH"/>
    <d v="2023-06-26T00:00:00"/>
    <m/>
    <x v="8"/>
    <d v="2023-06-20T00:00:00"/>
    <d v="2023-06-20T00:00:00"/>
    <s v="708 731 042 166"/>
    <m/>
    <s v="CNOA"/>
    <s v="Kartuizerstraat 19/4 ean 541448920709776973"/>
    <n v="118.5"/>
    <s v="DOM"/>
    <m/>
    <x v="7"/>
    <m/>
    <x v="5"/>
  </r>
  <r>
    <n v="135"/>
    <s v="ACH"/>
    <d v="2023-06-26T00:00:00"/>
    <m/>
    <x v="9"/>
    <d v="2023-06-23T00:00:00"/>
    <d v="2023-06-23T00:00:00"/>
    <s v="231035 8680"/>
    <m/>
    <s v="CNOA"/>
    <s v="Maaltijdcheques periode 06/23"/>
    <n v="180.26"/>
    <s v="DOM"/>
    <m/>
    <x v="0"/>
    <s v="maaltijdcheques"/>
    <x v="5"/>
  </r>
  <r>
    <n v="136"/>
    <s v="ACH"/>
    <d v="2023-06-26T00:00:00"/>
    <m/>
    <x v="9"/>
    <d v="2023-06-15T00:00:00"/>
    <d v="2023-06-15T00:00:00"/>
    <s v="232033 1014"/>
    <m/>
    <s v="CNOA"/>
    <s v="Eco-cheques"/>
    <n v="256.05"/>
    <s v="DOM"/>
    <m/>
    <x v="0"/>
    <s v="maaltijdcheques"/>
    <x v="5"/>
  </r>
  <r>
    <n v="137"/>
    <s v="ACH"/>
    <d v="2023-06-29T00:00:00"/>
    <m/>
    <x v="10"/>
    <d v="2023-06-28T00:00:00"/>
    <d v="2023-06-28T00:00:00"/>
    <s v="INV208297316"/>
    <m/>
    <s v="CNOA"/>
    <s v="Cloud recording"/>
    <n v="89.54"/>
    <s v="DOM"/>
    <s v="Terugbetalen à VROA "/>
    <x v="4"/>
    <s v="zoom maandabonnement"/>
    <x v="5"/>
  </r>
  <r>
    <n v="138"/>
    <s v="ACH"/>
    <d v="2023-06-29T00:00:00"/>
    <m/>
    <x v="37"/>
    <d v="2023-07-01T00:00:00"/>
    <d v="2023-07-01T00:00:00"/>
    <s v="2023 001283"/>
    <m/>
    <s v="CNOA"/>
    <s v="Rent exempt of vat - office PERIODE 07/2023"/>
    <n v="2327.7399999999998"/>
    <d v="2023-07-27T00:00:00"/>
    <m/>
    <x v="2"/>
    <m/>
    <x v="5"/>
  </r>
  <r>
    <n v="139"/>
    <s v="ACH"/>
    <d v="2023-06-29T00:00:00"/>
    <m/>
    <x v="37"/>
    <d v="2023-07-01T00:00:00"/>
    <d v="2023-07-01T00:00:00"/>
    <s v="2023 001369"/>
    <m/>
    <s v="CNOA"/>
    <s v="rent exempt of vat - storage PERIODE 07/2023 Archief Koningstraat"/>
    <n v="307.91000000000003"/>
    <d v="2023-07-27T00:00:00"/>
    <m/>
    <x v="2"/>
    <m/>
    <x v="5"/>
  </r>
  <r>
    <n v="140"/>
    <s v="ACH"/>
    <d v="2023-06-29T00:00:00"/>
    <m/>
    <x v="37"/>
    <d v="2023-07-01T00:00:00"/>
    <d v="2023-07-01T00:00:00"/>
    <s v="2023 001418"/>
    <m/>
    <s v="CNOA"/>
    <s v="Service charge provisions PERIODE 07/2023"/>
    <n v="445"/>
    <d v="2023-07-27T00:00:00"/>
    <m/>
    <x v="2"/>
    <m/>
    <x v="5"/>
  </r>
  <r>
    <n v="141"/>
    <s v="ACH"/>
    <d v="2023-07-03T00:00:00"/>
    <m/>
    <x v="5"/>
    <d v="2023-07-01T00:00:00"/>
    <d v="2023-07-01T00:00:00"/>
    <s v="F202301275"/>
    <m/>
    <s v="CNOA"/>
    <s v="VPS Plan 07/2023"/>
    <n v="617.1"/>
    <d v="2023-07-27T00:00:00"/>
    <m/>
    <x v="4"/>
    <s v="server unieke lijst"/>
    <x v="5"/>
  </r>
  <r>
    <n v="142"/>
    <s v="ACH"/>
    <d v="2023-06-05T00:00:00"/>
    <m/>
    <x v="38"/>
    <d v="2023-05-23T00:00:00"/>
    <d v="2023-05-23T00:00:00"/>
    <s v="CN705000053713"/>
    <m/>
    <s v="CNOA"/>
    <s v="Teruggave Livorno"/>
    <n v="-42.22"/>
    <s v="checken"/>
    <m/>
    <x v="7"/>
    <m/>
    <x v="5"/>
  </r>
  <r>
    <n v="143"/>
    <s v="ACH"/>
    <d v="2023-07-03T00:00:00"/>
    <m/>
    <x v="39"/>
    <d v="2023-06-30T00:00:00"/>
    <d v="2023-06-30T00:00:00"/>
    <s v="CTD 2023127"/>
    <m/>
    <s v="CNOA"/>
    <s v="Jaarlijks contract SUPPORT CARE periode 07/2023 - 06/2024"/>
    <n v="653.19000000000005"/>
    <d v="2023-07-27T00:00:00"/>
    <m/>
    <x v="4"/>
    <m/>
    <x v="5"/>
  </r>
  <r>
    <n v="144"/>
    <s v="ACH"/>
    <d v="2023-07-03T00:00:00"/>
    <m/>
    <x v="39"/>
    <d v="2023-06-30T00:00:00"/>
    <d v="2023-06-30T00:00:00"/>
    <s v="CTB 20230181"/>
    <m/>
    <s v="CNOA"/>
    <s v="BOB COMPTA periode - 07/2023 - 06/2024"/>
    <n v="1160.3900000000001"/>
    <d v="2023-07-27T00:00:00"/>
    <m/>
    <x v="4"/>
    <m/>
    <x v="5"/>
  </r>
  <r>
    <n v="145"/>
    <s v="ACH"/>
    <d v="2023-07-06T00:00:00"/>
    <m/>
    <x v="40"/>
    <d v="2023-07-06T00:00:00"/>
    <d v="2023-07-06T00:00:00"/>
    <n v="42006800"/>
    <m/>
    <s v="CNOA"/>
    <s v="periode 07-2023"/>
    <n v="53.71"/>
    <d v="2023-08-03T00:00:00"/>
    <m/>
    <x v="0"/>
    <s v="hospitalisatieverzekering"/>
    <x v="5"/>
  </r>
  <r>
    <n v="146"/>
    <s v="ACH"/>
    <d v="2023-07-03T00:00:00"/>
    <m/>
    <x v="4"/>
    <d v="2023-07-18T00:00:00"/>
    <d v="2023-07-18T00:00:00"/>
    <n v="7304532873"/>
    <m/>
    <s v="CNOA"/>
    <s v="téléphone mobile Nadine"/>
    <n v="31.46"/>
    <s v="DOM"/>
    <m/>
    <x v="3"/>
    <m/>
    <x v="5"/>
  </r>
  <r>
    <n v="147"/>
    <s v="ACH"/>
    <d v="2023-07-03T00:00:00"/>
    <m/>
    <x v="4"/>
    <d v="2023-07-18T00:00:00"/>
    <d v="2023-07-18T00:00:00"/>
    <n v="7304532882"/>
    <m/>
    <s v="CNOA"/>
    <s v="téléphone fixe CNOA"/>
    <n v="86.91"/>
    <d v="2023-08-03T00:00:00"/>
    <m/>
    <x v="3"/>
    <m/>
    <x v="5"/>
  </r>
  <r>
    <n v="148"/>
    <s v="ACH"/>
    <d v="2023-07-17T00:00:00"/>
    <m/>
    <x v="13"/>
    <d v="2023-07-03T00:00:00"/>
    <d v="2023-07-03T00:00:00"/>
    <s v="C8135 3773678110"/>
    <m/>
    <s v="CNOA"/>
    <s v="periode deuxième trimestre 2023"/>
    <n v="103.87"/>
    <d v="2023-08-03T00:00:00"/>
    <m/>
    <x v="10"/>
    <s v="verbruik kopieën"/>
    <x v="5"/>
  </r>
  <r>
    <n v="149"/>
    <s v="ACH"/>
    <d v="2023-07-17T00:00:00"/>
    <m/>
    <x v="20"/>
    <d v="2023-06-30T00:00:00"/>
    <d v="2023-07-30T00:00:00"/>
    <s v="F90/2023/06001878"/>
    <m/>
    <s v="CNOA"/>
    <s v="prestatations de juin 2023"/>
    <n v="177.97"/>
    <d v="2023-08-03T00:00:00"/>
    <m/>
    <x v="16"/>
    <m/>
    <x v="6"/>
  </r>
  <r>
    <n v="150"/>
    <s v="ACH"/>
    <d v="2023-07-07T00:00:00"/>
    <m/>
    <x v="41"/>
    <d v="2023-06-30T00:00:00"/>
    <d v="2023-07-30T00:00:00"/>
    <s v="I_23-01171"/>
    <m/>
    <s v="CNOA"/>
    <s v="Nationale Raad- 23/06/2023 - 13h30 - 17h"/>
    <n v="992.2"/>
    <d v="2023-08-03T00:00:00"/>
    <m/>
    <x v="22"/>
    <s v="Traductions"/>
    <x v="6"/>
  </r>
  <r>
    <n v="151"/>
    <s v="ACH"/>
    <d v="2023-07-07T00:00:00"/>
    <m/>
    <x v="41"/>
    <d v="2023-06-30T00:00:00"/>
    <d v="2023-07-30T00:00:00"/>
    <s v="I_23-01172"/>
    <m/>
    <s v="CNOA"/>
    <s v="Comité de suivi - Elections ordinales 21/06/2023"/>
    <n v="496.1"/>
    <d v="2023-08-03T00:00:00"/>
    <m/>
    <x v="22"/>
    <s v="Traductions"/>
    <x v="6"/>
  </r>
  <r>
    <n v="152"/>
    <s v="ACH"/>
    <d v="2023-07-17T00:00:00"/>
    <m/>
    <x v="1"/>
    <d v="2023-07-17T00:00:00"/>
    <d v="2023-07-17T00:00:00"/>
    <n v="202307001594"/>
    <m/>
    <s v="CNOA"/>
    <s v="Provision ONSS juillet 2023"/>
    <n v="63439.71"/>
    <s v="DOM"/>
    <m/>
    <x v="0"/>
    <s v="bedrijfsvoorheffing"/>
    <x v="6"/>
  </r>
  <r>
    <n v="153"/>
    <s v="ACH"/>
    <d v="2023-07-18T00:00:00"/>
    <m/>
    <x v="1"/>
    <d v="2023-07-31T00:00:00"/>
    <d v="2023-07-31T00:00:00"/>
    <n v="202306012600"/>
    <m/>
    <s v="CNOA"/>
    <s v="Cotisations patronales 2ième trimestre "/>
    <n v="56050.42"/>
    <s v="DOM"/>
    <m/>
    <x v="0"/>
    <s v="bedrijfsvoorheffing"/>
    <x v="6"/>
  </r>
  <r>
    <n v="154"/>
    <s v="ACH"/>
    <d v="2023-07-31T00:00:00"/>
    <m/>
    <x v="6"/>
    <d v="2023-07-31T00:00:00"/>
    <d v="2023-07-31T00:00:00"/>
    <s v="755535-A"/>
    <m/>
    <s v="CNOA"/>
    <s v="periode juilliet 2023"/>
    <n v="493.18"/>
    <d v="2023-08-03T00:00:00"/>
    <m/>
    <x v="5"/>
    <m/>
    <x v="6"/>
  </r>
  <r>
    <n v="155"/>
    <s v="ACH"/>
    <d v="2023-07-31T00:00:00"/>
    <m/>
    <x v="8"/>
    <d v="2023-07-19T00:00:00"/>
    <d v="2023-07-19T00:00:00"/>
    <s v="709 691 511 734"/>
    <m/>
    <s v="CNOA"/>
    <s v="Periode juli 2023"/>
    <n v="118.5"/>
    <s v="DOM"/>
    <m/>
    <x v="7"/>
    <m/>
    <x v="6"/>
  </r>
  <r>
    <n v="156"/>
    <s v="ACH"/>
    <d v="2023-07-31T00:00:00"/>
    <m/>
    <x v="15"/>
    <d v="2023-08-10T00:00:00"/>
    <d v="2023-08-10T00:00:00"/>
    <s v="23129108"/>
    <m/>
    <s v="CNOA"/>
    <s v="Periode 01-23/12-23"/>
    <n v="112.85"/>
    <d v="2023-08-21T00:00:00"/>
    <m/>
    <x v="13"/>
    <m/>
    <x v="6"/>
  </r>
  <r>
    <n v="157"/>
    <s v="ACH"/>
    <d v="2023-07-31T00:00:00"/>
    <m/>
    <x v="1"/>
    <d v="2023-07-26T00:00:00"/>
    <d v="2023-07-26T00:00:00"/>
    <s v="2023 07004689"/>
    <m/>
    <s v="CNOA"/>
    <s v="Aanvullend pensioenverzekering"/>
    <n v="145.84"/>
    <s v="DOM"/>
    <m/>
    <x v="26"/>
    <s v="zou in lonen moeten zitten"/>
    <x v="6"/>
  </r>
  <r>
    <n v="158"/>
    <s v="ACH"/>
    <d v="2023-07-31T00:00:00"/>
    <m/>
    <x v="31"/>
    <d v="2023-08-01T00:00:00"/>
    <d v="2023-08-01T00:00:00"/>
    <s v="2023 001551"/>
    <m/>
    <s v="CNOA"/>
    <s v="Kartuizerstraat periode 01/08-31/08"/>
    <n v="2327.7399999999998"/>
    <d v="2023-08-21T00:00:00"/>
    <m/>
    <x v="2"/>
    <m/>
    <x v="6"/>
  </r>
  <r>
    <n v="159"/>
    <s v="ACH"/>
    <d v="2023-07-31T00:00:00"/>
    <m/>
    <x v="31"/>
    <d v="2023-08-01T00:00:00"/>
    <d v="2023-08-01T00:00:00"/>
    <s v="2023 001626"/>
    <m/>
    <s v="CNOA"/>
    <s v="Koningstraat archief periode 01/08-31/08"/>
    <n v="307.91000000000003"/>
    <d v="2023-08-21T00:00:00"/>
    <m/>
    <x v="2"/>
    <m/>
    <x v="6"/>
  </r>
  <r>
    <n v="160"/>
    <s v="ACH"/>
    <d v="2023-07-31T00:00:00"/>
    <m/>
    <x v="42"/>
    <d v="2023-08-01T00:00:00"/>
    <d v="2023-08-01T00:00:00"/>
    <s v="2023 001742"/>
    <m/>
    <s v="CNOA"/>
    <s v="Provisie "/>
    <n v="445"/>
    <d v="2023-08-21T00:00:00"/>
    <m/>
    <x v="2"/>
    <m/>
    <x v="6"/>
  </r>
  <r>
    <n v="161"/>
    <s v="ACH"/>
    <d v="2023-08-02T00:00:00"/>
    <m/>
    <x v="5"/>
    <d v="2023-08-01T00:00:00"/>
    <d v="2023-08-01T00:00:00"/>
    <s v="2023 01395"/>
    <m/>
    <s v="CNOA"/>
    <s v="VPN periode 08/2023"/>
    <n v="617.1"/>
    <d v="2023-08-21T00:00:00"/>
    <m/>
    <x v="4"/>
    <s v="server unieke lijst"/>
    <x v="0"/>
  </r>
  <r>
    <n v="162"/>
    <s v="ACH"/>
    <d v="2023-08-07T00:00:00"/>
    <m/>
    <x v="43"/>
    <d v="2023-06-30T00:00:00"/>
    <d v="2023-06-30T00:00:00"/>
    <s v="40-2023"/>
    <m/>
    <s v="CNOA"/>
    <s v="Vertalingen NROA"/>
    <n v="5092.1400000000003"/>
    <d v="2023-08-21T00:00:00"/>
    <m/>
    <x v="12"/>
    <m/>
    <x v="6"/>
  </r>
  <r>
    <n v="163"/>
    <s v="ACH"/>
    <d v="2023-08-07T00:00:00"/>
    <m/>
    <x v="19"/>
    <d v="2023-07-31T00:00:00"/>
    <d v="2023-07-31T00:00:00"/>
    <s v="23071466"/>
    <m/>
    <s v="CNOA"/>
    <n v="23071466"/>
    <n v="1016.25"/>
    <d v="2023-08-21T00:00:00"/>
    <m/>
    <x v="4"/>
    <m/>
    <x v="6"/>
  </r>
  <r>
    <n v="164"/>
    <s v="ACH"/>
    <d v="2023-08-16T00:00:00"/>
    <m/>
    <x v="0"/>
    <d v="2023-08-03T00:00:00"/>
    <d v="2023-08-03T00:00:00"/>
    <s v="42006800 - 03"/>
    <m/>
    <s v="CNOA"/>
    <s v="Periode 08-2023"/>
    <n v="53.71"/>
    <d v="2023-08-21T00:00:00"/>
    <m/>
    <x v="0"/>
    <s v="hospitalisatieverzekering"/>
    <x v="6"/>
  </r>
  <r>
    <n v="165"/>
    <s v="ACH"/>
    <d v="2023-08-18T00:00:00"/>
    <m/>
    <x v="4"/>
    <d v="2023-08-03T00:00:00"/>
    <d v="2023-08-03T00:00:00"/>
    <s v="705091878"/>
    <m/>
    <s v="CNOA"/>
    <s v="Vast toestel NROA"/>
    <n v="31.46"/>
    <s v="DOM"/>
    <m/>
    <x v="3"/>
    <m/>
    <x v="6"/>
  </r>
  <r>
    <n v="166"/>
    <s v="ACH"/>
    <d v="2023-08-18T00:00:00"/>
    <m/>
    <x v="4"/>
    <d v="2023-08-03T00:00:00"/>
    <d v="2023-08-03T00:00:00"/>
    <s v="73 05091888"/>
    <m/>
    <s v="CNOA"/>
    <s v="Mobiel NDW"/>
    <n v="82.73"/>
    <d v="2023-09-01T00:00:00"/>
    <m/>
    <x v="3"/>
    <m/>
    <x v="6"/>
  </r>
  <r>
    <n v="167"/>
    <s v="ACH"/>
    <d v="2023-08-21T00:00:00"/>
    <m/>
    <x v="10"/>
    <d v="2023-07-28T00:00:00"/>
    <d v="2023-07-28T00:00:00"/>
    <s v="INV 212505315"/>
    <m/>
    <s v="CNOA"/>
    <s v="Cloud recording"/>
    <n v="-89.54"/>
    <s v="DOM"/>
    <m/>
    <x v="4"/>
    <s v="zoom maandabonnement"/>
    <x v="0"/>
  </r>
  <r>
    <n v="168"/>
    <s v="ACH"/>
    <d v="2023-08-21T00:00:00"/>
    <m/>
    <x v="1"/>
    <d v="2023-07-31T00:00:00"/>
    <d v="2023-07-31T00:00:00"/>
    <s v="2023 13007699 "/>
    <m/>
    <s v="CNOA"/>
    <s v="Frais de gestion Attentia"/>
    <n v="74.84"/>
    <s v="DOM"/>
    <m/>
    <x v="11"/>
    <m/>
    <x v="6"/>
  </r>
  <r>
    <n v="169"/>
    <s v="ACH"/>
    <d v="2023-08-21T00:00:00"/>
    <m/>
    <x v="1"/>
    <d v="2023-07-31T00:00:00"/>
    <d v="2023-07-31T00:00:00"/>
    <s v="2023 08004717"/>
    <m/>
    <s v="CNOA"/>
    <s v="Provisions Onss"/>
    <n v="63139.71"/>
    <s v="DOM"/>
    <m/>
    <x v="0"/>
    <s v="bedrijfsvoorheffing"/>
    <x v="6"/>
  </r>
  <r>
    <n v="170"/>
    <s v="ACH"/>
    <d v="2023-08-21T00:00:00"/>
    <m/>
    <x v="1"/>
    <d v="2023-07-31T00:00:00"/>
    <d v="2023-07-31T00:00:00"/>
    <s v="2023 07005335"/>
    <m/>
    <s v="CNOA"/>
    <s v="Subvention PP secteur profit PME"/>
    <n v="1205.76"/>
    <s v="DOM"/>
    <m/>
    <x v="0"/>
    <s v="patronale bijdragen"/>
    <x v="6"/>
  </r>
  <r>
    <n v="171"/>
    <s v="ACH"/>
    <d v="2023-08-23T00:00:00"/>
    <m/>
    <x v="27"/>
    <d v="2023-07-24T00:00:00"/>
    <d v="2023-07-24T00:00:00"/>
    <s v="BED 2023070558"/>
    <m/>
    <s v="CNOA"/>
    <s v="achat du certificat de production"/>
    <n v="287.98"/>
    <d v="2023-09-01T00:00:00"/>
    <m/>
    <x v="4"/>
    <m/>
    <x v="3"/>
  </r>
  <r>
    <n v="172"/>
    <s v="ACH"/>
    <d v="2023-08-28T00:00:00"/>
    <m/>
    <x v="20"/>
    <d v="2023-07-31T00:00:00"/>
    <d v="2023-07-31T00:00:00"/>
    <s v="90/2023/07001985"/>
    <m/>
    <s v="CNOA"/>
    <s v="prestations 07/23"/>
    <n v="227.23"/>
    <d v="2023-09-01T00:00:00"/>
    <m/>
    <x v="16"/>
    <m/>
    <x v="6"/>
  </r>
  <r>
    <n v="173"/>
    <s v="ACH"/>
    <d v="2023-08-22T00:00:00"/>
    <m/>
    <x v="8"/>
    <d v="2023-08-19T00:00:00"/>
    <d v="2023-08-19T00:00:00"/>
    <s v="708 010 888 249"/>
    <m/>
    <s v="CNOA"/>
    <s v="Ean 541448920709776973"/>
    <n v="118.5"/>
    <s v="DOM"/>
    <m/>
    <x v="7"/>
    <m/>
    <x v="6"/>
  </r>
  <r>
    <n v="174"/>
    <s v="ACH"/>
    <d v="2023-08-22T00:00:00"/>
    <m/>
    <x v="27"/>
    <d v="2023-06-01T00:00:00"/>
    <d v="2023-06-01T00:00:00"/>
    <s v="BED 2023060504"/>
    <m/>
    <s v="CNOA"/>
    <s v="prestations periode 1-06/1-08-23"/>
    <n v="1028.5"/>
    <d v="2023-09-01T00:00:00"/>
    <m/>
    <x v="4"/>
    <s v="huurgeld website"/>
    <x v="0"/>
  </r>
  <r>
    <n v="175"/>
    <s v="ACH"/>
    <d v="2023-08-29T00:00:00"/>
    <m/>
    <x v="10"/>
    <d v="2023-08-28T00:00:00"/>
    <d v="2023-08-28T00:00:00"/>
    <s v="INV216677677 "/>
    <m/>
    <s v="CNOA"/>
    <s v="Cloud recording periode 08-23"/>
    <n v="89.54"/>
    <s v="DOM"/>
    <m/>
    <x v="4"/>
    <s v="zoom maandabonnement"/>
    <x v="0"/>
  </r>
  <r>
    <n v="176"/>
    <s v="ACH"/>
    <d v="2023-08-31T00:00:00"/>
    <m/>
    <x v="3"/>
    <d v="2023-09-01T00:00:00"/>
    <d v="2023-09-01T00:00:00"/>
    <s v="2023 001718"/>
    <m/>
    <s v="CNOA"/>
    <s v="Rent of exempt of VAT - Office 09-23"/>
    <n v="2327.7399999999998"/>
    <d v="2023-09-22T00:00:00"/>
    <m/>
    <x v="2"/>
    <m/>
    <x v="6"/>
  </r>
  <r>
    <n v="177"/>
    <s v="ACH"/>
    <d v="2023-08-31T00:00:00"/>
    <m/>
    <x v="3"/>
    <d v="2023-09-01T00:00:00"/>
    <d v="2023-09-01T00:00:00"/>
    <s v="2023 001794"/>
    <m/>
    <s v="CNOA"/>
    <s v="Rent of exempt of VAT - Storage 09-23"/>
    <n v="307.91000000000003"/>
    <d v="2023-09-22T00:00:00"/>
    <m/>
    <x v="2"/>
    <m/>
    <x v="6"/>
  </r>
  <r>
    <n v="178"/>
    <s v="ACH"/>
    <d v="2023-08-31T00:00:00"/>
    <m/>
    <x v="42"/>
    <d v="2023-09-01T00:00:00"/>
    <d v="2023-09-01T00:00:00"/>
    <s v="2023 001973"/>
    <m/>
    <s v="CNOA"/>
    <s v="Service charge provisions 09-23"/>
    <n v="445"/>
    <d v="2023-09-22T00:00:00"/>
    <m/>
    <x v="2"/>
    <m/>
    <x v="6"/>
  </r>
  <r>
    <n v="179"/>
    <s v="ACH"/>
    <d v="2023-09-01T00:00:00"/>
    <m/>
    <x v="25"/>
    <d v="2023-08-30T00:00:00"/>
    <d v="2023-08-30T00:00:00"/>
    <s v="2023-1531"/>
    <m/>
    <s v="CNOA"/>
    <s v="SandraGassen"/>
    <n v="1615.12"/>
    <d v="2023-09-22T00:00:00"/>
    <m/>
    <x v="15"/>
    <m/>
    <x v="6"/>
  </r>
  <r>
    <n v="180"/>
    <s v="ACH"/>
    <d v="2023-09-01T00:00:00"/>
    <m/>
    <x v="5"/>
    <d v="2023-09-01T00:00:00"/>
    <d v="2023-09-01T00:00:00"/>
    <s v="F202301504"/>
    <m/>
    <s v="CNOA"/>
    <s v="VPS Plan 09/2023"/>
    <n v="617.1"/>
    <d v="2023-09-22T00:00:00"/>
    <m/>
    <x v="4"/>
    <s v="server unieke lijst"/>
    <x v="0"/>
  </r>
  <r>
    <n v="181"/>
    <s v="ACH"/>
    <d v="2023-09-01T00:00:00"/>
    <m/>
    <x v="27"/>
    <d v="2023-09-01T00:00:00"/>
    <d v="2023-09-01T00:00:00"/>
    <s v="BED2023090249"/>
    <m/>
    <s v="CNOA"/>
    <s v="Huurperiode 09-10-11/23"/>
    <n v="598.95000000000005"/>
    <d v="2023-09-22T00:00:00"/>
    <m/>
    <x v="4"/>
    <s v="huurgeld website"/>
    <x v="0"/>
  </r>
  <r>
    <n v="182"/>
    <s v="ACH"/>
    <d v="2023-09-07T00:00:00"/>
    <m/>
    <x v="1"/>
    <d v="2023-08-31T00:00:00"/>
    <d v="2023-08-31T00:00:00"/>
    <s v="2023 08008241 "/>
    <m/>
    <s v="CNOA"/>
    <s v="PP periode 08-23"/>
    <n v="1205.76"/>
    <s v="DOM"/>
    <m/>
    <x v="0"/>
    <s v="patronale bijdragen"/>
    <x v="6"/>
  </r>
  <r>
    <n v="183"/>
    <s v="ACH"/>
    <d v="2023-09-07T00:00:00"/>
    <m/>
    <x v="1"/>
    <d v="2023-08-31T00:00:00"/>
    <d v="2023-08-31T00:00:00"/>
    <s v="2023 13009031"/>
    <m/>
    <s v="CNOA"/>
    <s v="Frais de gestion Attentia"/>
    <n v="20.39"/>
    <s v="DOM"/>
    <m/>
    <x v="11"/>
    <m/>
    <x v="6"/>
  </r>
  <r>
    <n v="184"/>
    <s v="ACH"/>
    <d v="2023-09-07T00:00:00"/>
    <m/>
    <x v="9"/>
    <d v="2023-08-31T00:00:00"/>
    <d v="2023-08-31T00:00:00"/>
    <s v="2310501245"/>
    <m/>
    <s v="CNOA"/>
    <s v="Maaltijdcheques 08-23"/>
    <n v="188.45"/>
    <s v="DOM"/>
    <m/>
    <x v="0"/>
    <s v="maaltijdcheques"/>
    <x v="6"/>
  </r>
  <r>
    <n v="185"/>
    <s v="ACH"/>
    <d v="2023-09-04T00:00:00"/>
    <m/>
    <x v="22"/>
    <d v="2023-08-28T00:00:00"/>
    <d v="2023-08-28T00:00:00"/>
    <s v="13371 536"/>
    <m/>
    <s v="CNOA"/>
    <s v="Spa reine "/>
    <n v="72.98"/>
    <d v="2023-09-22T00:00:00"/>
    <m/>
    <x v="17"/>
    <m/>
    <x v="6"/>
  </r>
  <r>
    <n v="186"/>
    <s v="ACH"/>
    <d v="2023-09-04T00:00:00"/>
    <m/>
    <x v="22"/>
    <d v="2023-08-25T00:00:00"/>
    <d v="2023-08-25T00:00:00"/>
    <s v="13367 908"/>
    <m/>
    <s v="CNOA"/>
    <s v="Kantine en bureaumateriaal "/>
    <n v="343.82"/>
    <d v="2023-09-22T00:00:00"/>
    <m/>
    <x v="17"/>
    <m/>
    <x v="6"/>
  </r>
  <r>
    <n v="187"/>
    <s v="ACH"/>
    <d v="2023-09-05T00:00:00"/>
    <m/>
    <x v="22"/>
    <d v="2023-09-01T00:00:00"/>
    <d v="2023-09-01T00:00:00"/>
    <s v="13379 083"/>
    <m/>
    <s v="CNOA"/>
    <s v="Bureaumateriaal"/>
    <n v="62.68"/>
    <d v="2023-09-22T00:00:00"/>
    <m/>
    <x v="17"/>
    <m/>
    <x v="6"/>
  </r>
  <r>
    <n v="188"/>
    <s v="ACH"/>
    <d v="2023-09-06T00:00:00"/>
    <m/>
    <x v="4"/>
    <d v="2023-09-04T00:00:00"/>
    <d v="2023-09-04T00:00:00"/>
    <s v="73056 4773"/>
    <m/>
    <s v="CNOA"/>
    <s v="Abonnement NDW Mobiel"/>
    <n v="31.46"/>
    <s v="DOM"/>
    <m/>
    <x v="3"/>
    <m/>
    <x v="6"/>
  </r>
  <r>
    <n v="189"/>
    <s v="ACH"/>
    <d v="2023-09-04T00:00:00"/>
    <m/>
    <x v="4"/>
    <d v="2023-09-04T00:00:00"/>
    <d v="2023-09-04T00:00:00"/>
    <s v="730564 7784"/>
    <m/>
    <s v="CNOA"/>
    <s v="Vast toestel NROA"/>
    <n v="83.61"/>
    <d v="2023-09-22T00:00:00"/>
    <m/>
    <x v="3"/>
    <m/>
    <x v="6"/>
  </r>
  <r>
    <n v="190"/>
    <s v="ACH"/>
    <d v="2023-09-12T00:00:00"/>
    <m/>
    <x v="22"/>
    <d v="2023-09-06T00:00:00"/>
    <d v="2023-09-06T00:00:00"/>
    <s v="13388 232"/>
    <m/>
    <s v="CNOA"/>
    <s v="Kantoormateriaal"/>
    <n v="120.65"/>
    <d v="2023-09-22T00:00:00"/>
    <m/>
    <x v="17"/>
    <m/>
    <x v="6"/>
  </r>
  <r>
    <n v="191"/>
    <s v="ACH"/>
    <d v="2023-09-15T00:00:00"/>
    <m/>
    <x v="25"/>
    <d v="2023-09-14T00:00:00"/>
    <d v="2023-09-14T00:00:00"/>
    <s v="2023-1714"/>
    <m/>
    <s v="CNOA"/>
    <s v="Dossier Livourne/Sandra Gassen"/>
    <n v="292.08999999999997"/>
    <d v="2023-10-06T00:00:00"/>
    <m/>
    <x v="15"/>
    <m/>
    <x v="6"/>
  </r>
  <r>
    <n v="192"/>
    <s v="ACH"/>
    <d v="2023-09-18T00:00:00"/>
    <m/>
    <x v="12"/>
    <d v="2023-09-02T00:00:00"/>
    <d v="2023-09-02T00:00:00"/>
    <s v="500/0823/59440"/>
    <m/>
    <s v="CNOA"/>
    <s v="Ideal Accidents"/>
    <n v="71.959999999999994"/>
    <d v="2023-10-06T00:00:00"/>
    <m/>
    <x v="5"/>
    <m/>
    <x v="6"/>
  </r>
  <r>
    <n v="193"/>
    <s v="ACH"/>
    <d v="2023-09-18T00:00:00"/>
    <m/>
    <x v="12"/>
    <s v="2/09/203"/>
    <s v="2/09/203"/>
    <s v="500/1529/11984"/>
    <m/>
    <s v="CNOA"/>
    <s v="P&amp;V Ideal Liability"/>
    <n v="684.22"/>
    <d v="2023-10-06T00:00:00"/>
    <m/>
    <x v="9"/>
    <m/>
    <x v="6"/>
  </r>
  <r>
    <n v="194"/>
    <s v="ACH"/>
    <d v="2023-09-21T00:00:00"/>
    <m/>
    <x v="8"/>
    <d v="2023-09-19T00:00:00"/>
    <d v="2023-09-19T00:00:00"/>
    <s v="79 851 839 851"/>
    <m/>
    <s v="CNOA"/>
    <s v="Ean 541448920709776973 - Kartuizerstraat"/>
    <n v="118.5"/>
    <s v="DOM"/>
    <m/>
    <x v="7"/>
    <m/>
    <x v="6"/>
  </r>
  <r>
    <n v="195"/>
    <s v="ACH"/>
    <d v="2023-09-22T00:00:00"/>
    <m/>
    <x v="1"/>
    <d v="2023-09-18T00:00:00"/>
    <d v="2023-09-18T00:00:00"/>
    <s v="2023 09003258"/>
    <m/>
    <s v="CNOA"/>
    <s v="Provisions Onss sept 2023"/>
    <n v="52616.43"/>
    <s v="DOM"/>
    <m/>
    <x v="0"/>
    <s v="bedrijfsvoorheffing"/>
    <x v="6"/>
  </r>
  <r>
    <n v="196"/>
    <s v="ACH"/>
    <d v="2023-09-28T00:00:00"/>
    <m/>
    <x v="27"/>
    <d v="2023-06-01T00:00:00"/>
    <d v="2023-06-01T00:00:00"/>
    <s v="BED2023060505"/>
    <m/>
    <s v="CNOA"/>
    <s v="Période 06-07-08/2023"/>
    <n v="598.95000000000005"/>
    <d v="2023-10-30T00:00:00"/>
    <m/>
    <x v="4"/>
    <s v="huurgeld website"/>
    <x v="0"/>
  </r>
  <r>
    <n v="197"/>
    <s v="ACH"/>
    <d v="2023-09-28T00:00:00"/>
    <m/>
    <x v="10"/>
    <d v="2023-09-28T00:00:00"/>
    <d v="2023-09-28T00:00:00"/>
    <s v="INV220926524"/>
    <m/>
    <s v="CNOA"/>
    <s v="Période 08-09/2023"/>
    <n v="89.54"/>
    <s v="DOM"/>
    <m/>
    <x v="4"/>
    <s v="zoom maandabonnement"/>
    <x v="0"/>
  </r>
  <r>
    <n v="198"/>
    <s v="ACH"/>
    <d v="2023-09-29T00:00:00"/>
    <m/>
    <x v="3"/>
    <d v="2023-10-01T00:00:00"/>
    <d v="2023-10-01T00:00:00"/>
    <s v="2023 001895"/>
    <m/>
    <s v="CNOA"/>
    <s v="Rent exempt of VAT - Office periode 10/2023"/>
    <n v="2376.19"/>
    <d v="2023-10-30T00:00:00"/>
    <m/>
    <x v="2"/>
    <m/>
    <x v="6"/>
  </r>
  <r>
    <n v="199"/>
    <s v="ACH"/>
    <d v="2023-09-29T00:00:00"/>
    <m/>
    <x v="3"/>
    <d v="2023-10-01T00:00:00"/>
    <d v="2023-10-01T00:00:00"/>
    <s v="2023 001979"/>
    <m/>
    <s v="CNOA"/>
    <s v="Koningstraat archief periode 01/10-31/2023"/>
    <n v="307.91000000000003"/>
    <d v="2023-10-30T00:00:00"/>
    <m/>
    <x v="2"/>
    <m/>
    <x v="6"/>
  </r>
  <r>
    <n v="200"/>
    <s v="ACH"/>
    <d v="2023-09-29T00:00:00"/>
    <m/>
    <x v="42"/>
    <d v="2023-10-01T00:00:00"/>
    <d v="2023-10-01T00:00:00"/>
    <s v="2023 00227"/>
    <m/>
    <s v="CNOA"/>
    <s v="Service charge provisions 10/2023"/>
    <n v="445"/>
    <d v="2023-10-30T00:00:00"/>
    <m/>
    <x v="2"/>
    <m/>
    <x v="6"/>
  </r>
  <r>
    <n v="201"/>
    <s v="ACH"/>
    <d v="2023-10-03T00:00:00"/>
    <m/>
    <x v="5"/>
    <d v="2023-10-01T00:00:00"/>
    <d v="2023-10-01T00:00:00"/>
    <s v="F2024 00099"/>
    <m/>
    <s v="CNOA"/>
    <s v="VPS  Plan Periode oktober/2023"/>
    <n v="617.1"/>
    <d v="2023-10-30T00:00:00"/>
    <m/>
    <x v="4"/>
    <s v="server unieke lijst"/>
    <x v="0"/>
  </r>
  <r>
    <n v="202"/>
    <s v="ACH"/>
    <d v="2023-10-05T00:00:00"/>
    <m/>
    <x v="4"/>
    <d v="2023-10-03T00:00:00"/>
    <d v="2023-10-03T00:00:00"/>
    <n v="7306198105"/>
    <m/>
    <s v="CNOA"/>
    <s v="Vast toestel NROA"/>
    <n v="83.29"/>
    <d v="2023-10-30T00:00:00"/>
    <m/>
    <x v="3"/>
    <m/>
    <x v="6"/>
  </r>
  <r>
    <n v="203"/>
    <s v="ACH"/>
    <d v="2023-10-05T00:00:00"/>
    <m/>
    <x v="4"/>
    <d v="2023-10-03T00:00:00"/>
    <d v="2023-10-03T00:00:00"/>
    <n v="7306198088"/>
    <m/>
    <s v="CNOA"/>
    <s v="Mobiel NDW"/>
    <n v="31.46"/>
    <s v="DOM"/>
    <m/>
    <x v="3"/>
    <m/>
    <x v="6"/>
  </r>
  <r>
    <n v="204"/>
    <s v="ACH"/>
    <d v="2023-10-05T00:00:00"/>
    <m/>
    <x v="14"/>
    <d v="2023-09-30T00:00:00"/>
    <d v="2023-10-30T00:00:00"/>
    <s v="I_23-01564"/>
    <m/>
    <s v="CNOA"/>
    <s v="Periode 29/09/2023"/>
    <n v="2420"/>
    <d v="2023-10-30T00:00:00"/>
    <m/>
    <x v="12"/>
    <m/>
    <x v="6"/>
  </r>
  <r>
    <n v="205"/>
    <s v="ACH"/>
    <d v="2023-10-10T00:00:00"/>
    <m/>
    <x v="22"/>
    <d v="2023-10-06T00:00:00"/>
    <d v="2023-10-06T00:00:00"/>
    <s v="134 28844"/>
    <m/>
    <s v="CNOA"/>
    <s v="Kantoormateriaal"/>
    <n v="275.7"/>
    <d v="2023-11-16T00:00:00"/>
    <m/>
    <x v="17"/>
    <m/>
    <x v="6"/>
  </r>
  <r>
    <n v="206"/>
    <s v="ACH"/>
    <d v="2023-10-10T00:00:00"/>
    <m/>
    <x v="6"/>
    <d v="2023-08-31T00:00:00"/>
    <d v="2023-08-31T00:00:00"/>
    <s v="310/1371/02617"/>
    <m/>
    <s v="CNOA"/>
    <s v="Periode 08/2023"/>
    <n v="493.18"/>
    <d v="2023-11-16T00:00:00"/>
    <m/>
    <x v="5"/>
    <m/>
    <x v="6"/>
  </r>
  <r>
    <n v="207"/>
    <s v="ACH"/>
    <d v="2023-10-11T00:00:00"/>
    <m/>
    <x v="6"/>
    <d v="2023-09-30T00:00:00"/>
    <d v="2023-09-30T00:00:00"/>
    <s v="310/1366/65612"/>
    <m/>
    <s v="CNOA"/>
    <s v="Periode 09/2023"/>
    <n v="493.18"/>
    <d v="2023-11-16T00:00:00"/>
    <m/>
    <x v="5"/>
    <m/>
    <x v="6"/>
  </r>
  <r>
    <n v="208"/>
    <s v="ACH"/>
    <d v="2023-10-11T00:00:00"/>
    <m/>
    <x v="1"/>
    <d v="2023-09-30T00:00:00"/>
    <d v="2023-09-30T00:00:00"/>
    <s v="VSS2023364170"/>
    <m/>
    <s v="CNOA"/>
    <s v="Juridisch advies - aanpassen AR ad  gewijzigde wetgeving - template"/>
    <n v="1331"/>
    <d v="2023-11-16T00:00:00"/>
    <m/>
    <x v="11"/>
    <m/>
    <x v="6"/>
  </r>
  <r>
    <n v="209"/>
    <s v="ACH"/>
    <d v="2023-10-11T00:00:00"/>
    <m/>
    <x v="1"/>
    <d v="2023-09-30T00:00:00"/>
    <d v="2023-09-30T00:00:00"/>
    <s v="2023  09006240"/>
    <m/>
    <s v="CNOA"/>
    <s v="PP periode 09/2023"/>
    <n v="1205.76"/>
    <s v="DOM"/>
    <m/>
    <x v="0"/>
    <s v="patronale bijdragen"/>
    <x v="6"/>
  </r>
  <r>
    <n v="210"/>
    <s v="ACH"/>
    <d v="2023-10-11T00:00:00"/>
    <m/>
    <x v="1"/>
    <d v="2023-09-30T00:00:00"/>
    <d v="2023-09-30T00:00:00"/>
    <s v="2023 13010266"/>
    <m/>
    <s v="CNOA"/>
    <s v="Frais de gestion Attentia 09/2023"/>
    <n v="20.39"/>
    <s v="DOM"/>
    <m/>
    <x v="11"/>
    <m/>
    <x v="6"/>
  </r>
  <r>
    <n v="211"/>
    <s v="ACH"/>
    <d v="2023-10-11T00:00:00"/>
    <m/>
    <x v="0"/>
    <d v="2023-09-06T00:00:00"/>
    <d v="2023-09-06T00:00:00"/>
    <s v="4200 6800 - 03"/>
    <m/>
    <s v="CNOA"/>
    <s v="Periode 09-2023"/>
    <n v="53.71"/>
    <d v="2023-11-16T00:00:00"/>
    <m/>
    <x v="0"/>
    <s v="hospitalisatieverzekering"/>
    <x v="6"/>
  </r>
  <r>
    <n v="212"/>
    <s v="ACH"/>
    <d v="2023-10-21T00:00:00"/>
    <m/>
    <x v="8"/>
    <d v="2023-10-19T00:00:00"/>
    <d v="2023-10-19T00:00:00"/>
    <s v="708 251 136 179"/>
    <m/>
    <s v="CNOA"/>
    <s v="Kartuizerstraat 19/4 ean 541448920709776973"/>
    <n v="118.5"/>
    <s v="DOM"/>
    <m/>
    <x v="7"/>
    <m/>
    <x v="6"/>
  </r>
  <r>
    <n v="213"/>
    <s v="ACH"/>
    <d v="2023-10-23T00:00:00"/>
    <m/>
    <x v="7"/>
    <d v="2023-10-12T00:00:00"/>
    <d v="2023-11-17T00:00:00"/>
    <s v="FA23-A-002"/>
    <m/>
    <s v="CNOA"/>
    <s v="Elections ordinales électroniques 2023"/>
    <n v="47533.64"/>
    <d v="2023-11-16T00:00:00"/>
    <m/>
    <x v="6"/>
    <m/>
    <x v="6"/>
  </r>
  <r>
    <n v="214"/>
    <s v="ACH"/>
    <d v="2023-10-23T00:00:00"/>
    <m/>
    <x v="20"/>
    <d v="2023-09-30T00:00:00"/>
    <d v="2023-09-30T00:00:00"/>
    <s v="90/2023/09002036"/>
    <m/>
    <s v="CNOA"/>
    <s v="Periode 09-2023"/>
    <n v="189.35"/>
    <d v="2023-11-16T00:00:00"/>
    <m/>
    <x v="16"/>
    <m/>
    <x v="6"/>
  </r>
  <r>
    <n v="215"/>
    <s v="ACH"/>
    <d v="2023-10-31T00:00:00"/>
    <m/>
    <x v="27"/>
    <d v="2023-10-31T00:00:00"/>
    <d v="2023-10-31T00:00:00"/>
    <s v="BED2023 00570"/>
    <m/>
    <s v="CNOA"/>
    <s v="Installatiekosten "/>
    <n v="3853.85"/>
    <d v="2023-11-16T00:00:00"/>
    <m/>
    <x v="27"/>
    <s v="afrekening unieke lijst"/>
    <x v="3"/>
  </r>
  <r>
    <n v="216"/>
    <s v="ACH"/>
    <d v="2023-10-31T00:00:00"/>
    <m/>
    <x v="3"/>
    <d v="2023-11-01T00:00:00"/>
    <d v="2023-11-01T00:00:00"/>
    <s v="2023 002082"/>
    <m/>
    <s v="CNOA"/>
    <s v="Huurperiode kantoor 11-2023"/>
    <n v="2376.19"/>
    <d v="2023-11-16T00:00:00"/>
    <m/>
    <x v="2"/>
    <m/>
    <x v="6"/>
  </r>
  <r>
    <n v="217"/>
    <s v="ACH"/>
    <d v="2023-10-31T00:00:00"/>
    <m/>
    <x v="3"/>
    <d v="2023-11-01T00:00:00"/>
    <d v="2023-11-01T00:00:00"/>
    <s v="2023 002153"/>
    <m/>
    <s v="CNOA"/>
    <s v="Huurperiode storage 11-2023"/>
    <n v="308.83"/>
    <d v="2023-11-16T00:00:00"/>
    <m/>
    <x v="2"/>
    <m/>
    <x v="6"/>
  </r>
  <r>
    <n v="218"/>
    <s v="ACH"/>
    <d v="2023-10-31T00:00:00"/>
    <m/>
    <x v="42"/>
    <d v="2023-11-01T00:00:00"/>
    <d v="2023-11-01T00:00:00"/>
    <s v="2023 002569"/>
    <m/>
    <s v="CNOA"/>
    <s v="Service charge provisions"/>
    <n v="445"/>
    <d v="2023-11-16T00:00:00"/>
    <m/>
    <x v="2"/>
    <m/>
    <x v="6"/>
  </r>
  <r>
    <n v="219"/>
    <s v="ACH"/>
    <d v="2023-11-06T00:00:00"/>
    <m/>
    <x v="5"/>
    <d v="2023-11-06T00:00:00"/>
    <d v="2023-11-06T00:00:00"/>
    <s v="F202400228"/>
    <m/>
    <s v="CNOA"/>
    <s v="Periode 11-2023"/>
    <n v="617.1"/>
    <d v="2023-11-16T00:00:00"/>
    <m/>
    <x v="4"/>
    <s v="server unieke lijst"/>
    <x v="0"/>
  </r>
  <r>
    <n v="220"/>
    <s v="ACH"/>
    <d v="2023-11-06T00:00:00"/>
    <m/>
    <x v="10"/>
    <d v="2023-10-28T00:00:00"/>
    <d v="2023-10-28T00:00:00"/>
    <s v="INV225090987"/>
    <m/>
    <s v="CNOA"/>
    <s v="cloud recording periode 10-11/23"/>
    <n v="428.1"/>
    <s v="DOM"/>
    <m/>
    <x v="4"/>
    <s v="zoom maandabonnement"/>
    <x v="2"/>
  </r>
  <r>
    <n v="221"/>
    <s v="ACH"/>
    <d v="2023-11-06T00:00:00"/>
    <m/>
    <x v="4"/>
    <d v="2023-11-03T00:00:00"/>
    <d v="2023-11-03T00:00:00"/>
    <s v="73 06749599"/>
    <m/>
    <s v="CNOA"/>
    <s v="Mobiel NDW"/>
    <n v="31.46"/>
    <s v="DOM"/>
    <m/>
    <x v="3"/>
    <m/>
    <x v="6"/>
  </r>
  <r>
    <n v="222"/>
    <s v="ACH"/>
    <d v="2023-11-06T00:00:00"/>
    <m/>
    <x v="4"/>
    <d v="2023-11-03T00:00:00"/>
    <d v="2023-11-03T00:00:00"/>
    <s v="73 06749609"/>
    <m/>
    <s v="CNOA"/>
    <s v="Vast toestel NROA"/>
    <n v="82.77"/>
    <d v="2023-11-16T00:00:00"/>
    <m/>
    <x v="3"/>
    <m/>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783BB92-FA7E-49B1-B173-E9F9408416B6}" name="Draaitabel1" cacheId="0" applyNumberFormats="0" applyBorderFormats="0" applyFontFormats="0" applyPatternFormats="0" applyAlignmentFormats="0" applyWidthHeightFormats="1" dataCaption="Waarden" updatedVersion="8" minRefreshableVersion="3" useAutoFormatting="1" itemPrintTitles="1" createdVersion="8" indent="0" outline="1" outlineData="1" multipleFieldFilters="0">
  <location ref="A3:I56" firstHeaderRow="1" firstDataRow="2" firstDataCol="1"/>
  <pivotFields count="17">
    <pivotField showAll="0"/>
    <pivotField showAll="0"/>
    <pivotField showAll="0"/>
    <pivotField showAll="0"/>
    <pivotField axis="axisRow" showAll="0">
      <items count="45">
        <item x="32"/>
        <item x="21"/>
        <item x="14"/>
        <item x="41"/>
        <item x="6"/>
        <item x="43"/>
        <item x="1"/>
        <item x="35"/>
        <item x="7"/>
        <item x="22"/>
        <item x="29"/>
        <item x="26"/>
        <item x="42"/>
        <item x="18"/>
        <item x="36"/>
        <item x="2"/>
        <item x="28"/>
        <item x="0"/>
        <item x="40"/>
        <item x="39"/>
        <item x="9"/>
        <item x="8"/>
        <item x="37"/>
        <item x="17"/>
        <item x="13"/>
        <item x="19"/>
        <item x="20"/>
        <item x="3"/>
        <item x="33"/>
        <item x="16"/>
        <item x="15"/>
        <item x="12"/>
        <item x="4"/>
        <item x="30"/>
        <item x="31"/>
        <item x="34"/>
        <item x="27"/>
        <item x="23"/>
        <item x="5"/>
        <item x="25"/>
        <item x="24"/>
        <item x="38"/>
        <item x="11"/>
        <item x="10"/>
        <item t="default"/>
      </items>
    </pivotField>
    <pivotField showAll="0"/>
    <pivotField showAll="0"/>
    <pivotField showAll="0"/>
    <pivotField showAll="0"/>
    <pivotField showAll="0"/>
    <pivotField showAll="0"/>
    <pivotField dataField="1" showAll="0"/>
    <pivotField showAll="0"/>
    <pivotField showAll="0"/>
    <pivotField axis="axisRow" showAll="0">
      <items count="30">
        <item x="0"/>
        <item x="26"/>
        <item x="19"/>
        <item x="5"/>
        <item x="25"/>
        <item x="9"/>
        <item sd="0" x="14"/>
        <item sd="0" x="8"/>
        <item sd="0" x="1"/>
        <item sd="0" x="7"/>
        <item x="16"/>
        <item sd="0" x="6"/>
        <item sd="0" x="13"/>
        <item sd="0" x="15"/>
        <item sd="0" x="24"/>
        <item x="4"/>
        <item sd="0" m="1" x="28"/>
        <item sd="0" x="2"/>
        <item sd="0" x="17"/>
        <item x="27"/>
        <item sd="0" x="21"/>
        <item sd="0" x="20"/>
        <item sd="0" x="11"/>
        <item sd="0" x="18"/>
        <item sd="0" x="3"/>
        <item x="12"/>
        <item sd="0" x="22"/>
        <item sd="0" x="10"/>
        <item x="23"/>
        <item t="default" sd="0"/>
      </items>
    </pivotField>
    <pivotField showAll="0"/>
    <pivotField axis="axisCol" showAll="0">
      <items count="8">
        <item x="3"/>
        <item x="2"/>
        <item x="1"/>
        <item x="0"/>
        <item x="4"/>
        <item x="6"/>
        <item x="5"/>
        <item t="default"/>
      </items>
    </pivotField>
  </pivotFields>
  <rowFields count="2">
    <field x="14"/>
    <field x="4"/>
  </rowFields>
  <rowItems count="52">
    <i>
      <x/>
    </i>
    <i r="1">
      <x v="6"/>
    </i>
    <i r="1">
      <x v="17"/>
    </i>
    <i r="1">
      <x v="18"/>
    </i>
    <i r="1">
      <x v="20"/>
    </i>
    <i r="1">
      <x v="35"/>
    </i>
    <i>
      <x v="1"/>
    </i>
    <i r="1">
      <x v="6"/>
    </i>
    <i>
      <x v="2"/>
    </i>
    <i r="1">
      <x v="16"/>
    </i>
    <i>
      <x v="3"/>
    </i>
    <i r="1">
      <x v="4"/>
    </i>
    <i r="1">
      <x v="31"/>
    </i>
    <i>
      <x v="4"/>
    </i>
    <i r="1">
      <x v="29"/>
    </i>
    <i>
      <x v="5"/>
    </i>
    <i r="1">
      <x v="31"/>
    </i>
    <i>
      <x v="6"/>
    </i>
    <i>
      <x v="7"/>
    </i>
    <i>
      <x v="8"/>
    </i>
    <i>
      <x v="9"/>
    </i>
    <i>
      <x v="10"/>
    </i>
    <i r="1">
      <x v="1"/>
    </i>
    <i r="1">
      <x v="13"/>
    </i>
    <i r="1">
      <x v="26"/>
    </i>
    <i>
      <x v="11"/>
    </i>
    <i>
      <x v="12"/>
    </i>
    <i>
      <x v="13"/>
    </i>
    <i>
      <x v="14"/>
    </i>
    <i>
      <x v="15"/>
    </i>
    <i r="1">
      <x v="19"/>
    </i>
    <i r="1">
      <x v="25"/>
    </i>
    <i r="1">
      <x v="36"/>
    </i>
    <i r="1">
      <x v="38"/>
    </i>
    <i r="1">
      <x v="43"/>
    </i>
    <i>
      <x v="17"/>
    </i>
    <i>
      <x v="18"/>
    </i>
    <i>
      <x v="19"/>
    </i>
    <i r="1">
      <x v="36"/>
    </i>
    <i>
      <x v="20"/>
    </i>
    <i>
      <x v="21"/>
    </i>
    <i>
      <x v="22"/>
    </i>
    <i>
      <x v="23"/>
    </i>
    <i>
      <x v="24"/>
    </i>
    <i>
      <x v="25"/>
    </i>
    <i r="1">
      <x v="2"/>
    </i>
    <i r="1">
      <x v="5"/>
    </i>
    <i>
      <x v="26"/>
    </i>
    <i>
      <x v="27"/>
    </i>
    <i>
      <x v="28"/>
    </i>
    <i r="1">
      <x v="28"/>
    </i>
    <i t="grand">
      <x/>
    </i>
  </rowItems>
  <colFields count="1">
    <field x="16"/>
  </colFields>
  <colItems count="8">
    <i>
      <x/>
    </i>
    <i>
      <x v="1"/>
    </i>
    <i>
      <x v="2"/>
    </i>
    <i>
      <x v="3"/>
    </i>
    <i>
      <x v="4"/>
    </i>
    <i>
      <x v="5"/>
    </i>
    <i>
      <x v="6"/>
    </i>
    <i t="grand">
      <x/>
    </i>
  </colItems>
  <dataFields count="1">
    <dataField name="Som van AMOUNT" fld="1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6ED5E53-66A1-4E17-B819-63FB03EB02F0}" name="Tabel1" displayName="Tabel1" ref="A1:O223" totalsRowShown="0" tableBorderDxfId="15">
  <autoFilter ref="A1:O223" xr:uid="{46ED5E53-66A1-4E17-B819-63FB03EB02F0}">
    <filterColumn colId="4">
      <filters>
        <filter val="AKIRA (ACE Translators)"/>
        <filter val="Akira translations"/>
        <filter val="ANSAY Roseline"/>
      </filters>
    </filterColumn>
  </autoFilter>
  <tableColumns count="15">
    <tableColumn id="1" xr3:uid="{34B29AB5-5552-4F95-BFD4-7AEC7A707DAC}" name="INT-NUM" dataDxfId="14" dataCellStyle="Standaard 4"/>
    <tableColumn id="2" xr3:uid="{090AFBB8-64BF-4EA7-8319-F04C6EEF5589}" name="TYPE" dataDxfId="13" dataCellStyle="Standaard 4"/>
    <tableColumn id="3" xr3:uid="{1C33B096-BE36-449C-9E10-49B6B70AC480}" name="DATE-IN" dataDxfId="12" dataCellStyle="Standaard 4"/>
    <tableColumn id="4" xr3:uid="{3FC2DF0F-3CB1-434E-A691-9545C4EBE395}" name="OA-OK" dataDxfId="11" dataCellStyle="Standaard 4"/>
    <tableColumn id="5" xr3:uid="{D0F9C43B-B2ED-4B74-8C45-FCBE686727ED}" name="SUPPLIER" dataDxfId="10" dataCellStyle="Standaard 4"/>
    <tableColumn id="6" xr3:uid="{27963582-4801-4CB8-90AD-DB30360D84E1}" name="INV DATE" dataDxfId="9" dataCellStyle="Standaard 4"/>
    <tableColumn id="7" xr3:uid="{A0AD3258-3291-429D-8AD3-F4569D1B0497}" name="DUE DATE" dataDxfId="8" dataCellStyle="Standaard 4"/>
    <tableColumn id="8" xr3:uid="{30C9218B-0240-4681-9931-40321A467970}" name="INV-NUM" dataDxfId="7" dataCellStyle="Standaard 4"/>
    <tableColumn id="9" xr3:uid="{9896B9B5-02D2-4C1D-903B-EA0D54065498}" name="ACC-NUM" dataDxfId="6" dataCellStyle="Standaard 4"/>
    <tableColumn id="10" xr3:uid="{4F2CB6B0-BC8A-4E2C-A059-45A213A166C2}" name="PROV." dataDxfId="5" dataCellStyle="Standaard 4"/>
    <tableColumn id="11" xr3:uid="{D7B4A97B-300A-4EEC-9229-37AD5A13E522}" name="COMMENTS" dataDxfId="4" dataCellStyle="Standaard 4"/>
    <tableColumn id="12" xr3:uid="{A89C3E73-DCFE-4A60-8B9E-0256135FF32D}" name="AMOUNT" dataDxfId="3"/>
    <tableColumn id="13" xr3:uid="{E5535D36-513B-4F02-86BE-863064F0C14A}" name="Date PMT" dataDxfId="2" dataCellStyle="Standaard 4"/>
    <tableColumn id="14" xr3:uid="{2EDE82F1-32F7-4D11-9160-FC3348AE2EBD}" name="Date Signature" dataDxfId="1" dataCellStyle="Standaard 4"/>
    <tableColumn id="15" xr3:uid="{315A83DF-B0B2-43DF-891C-406BAFE22DDE}" name="rubriek in globaal budget"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J11" dT="2023-12-11T10:15:45.58" personId="{8024F35A-F555-4572-B146-63BF03FAF15A}" id="{1D8F9FA7-C017-4F6D-A54C-1B5CFF4526E7}">
    <text>= entretien moililier - Location DEA + entretien voiture</text>
  </threadedComment>
  <threadedComment ref="AJ44" dT="2023-12-11T10:22:19.96" personId="{8024F35A-F555-4572-B146-63BF03FAF15A}" id="{620F05B4-B216-4B26-B80F-493E7EC1C23B}">
    <text xml:space="preserve">= assurances - auto + assurances - autres (divers)
</text>
  </threadedComment>
  <threadedComment ref="AJ67" dT="2023-12-11T10:31:35.35" personId="{8024F35A-F555-4572-B146-63BF03FAF15A}" id="{8281B9DE-2940-41C9-B7B2-AFBB47DFC87C}">
    <text>Frais mandataires - journée mandataires</text>
  </threadedComment>
  <threadedComment ref="AJ70" dT="2023-12-11T10:33:13.27" personId="{8024F35A-F555-4572-B146-63BF03FAF15A}" id="{D8C27461-BA01-48D0-8254-49B71EEB88E4}">
    <text xml:space="preserve">Vorig jaar werd dit niet opgenomen in begroting?
</text>
  </threadedComment>
  <threadedComment ref="AF119" dT="2023-12-11T10:42:39.92" personId="{8024F35A-F555-4572-B146-63BF03FAF15A}" id="{5ED62990-0C29-4013-B2B7-41C48540B7B0}">
    <text>Corr. Op ingediende budget van 2023 = overige lidgelden ipv lidgeld ACE (profession libérale.be UCM)</text>
  </threadedComment>
  <threadedComment ref="AJ149" dT="2023-12-11T10:47:35.70" personId="{8024F35A-F555-4572-B146-63BF03FAF15A}" id="{B77FD2F5-CAE3-4507-8A79-1F26A1DBD104}">
    <text>= taxe circulation voiture + taxes provinciales, communales et régionales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AJ184"/>
  <sheetViews>
    <sheetView tabSelected="1" topLeftCell="A152" workbookViewId="0">
      <selection activeCell="A168" sqref="A168:XFD168"/>
    </sheetView>
  </sheetViews>
  <sheetFormatPr baseColWidth="10" defaultColWidth="9.33203125" defaultRowHeight="10.199999999999999" x14ac:dyDescent="0.25"/>
  <cols>
    <col min="1" max="1" width="43.33203125" style="410" customWidth="1"/>
    <col min="2" max="9" width="14.109375" style="410" hidden="1" customWidth="1"/>
    <col min="10" max="12" width="14.109375" style="475" hidden="1" customWidth="1"/>
    <col min="13" max="13" width="14.109375" style="431" hidden="1" customWidth="1"/>
    <col min="14" max="20" width="14.109375" style="475" hidden="1" customWidth="1"/>
    <col min="21" max="21" width="14.109375" style="431" hidden="1" customWidth="1"/>
    <col min="22" max="22" width="14.109375" style="475" customWidth="1"/>
    <col min="23" max="24" width="14.109375" style="475" hidden="1" customWidth="1"/>
    <col min="25" max="25" width="14.109375" style="431" hidden="1" customWidth="1"/>
    <col min="26" max="26" width="6.6640625" style="410" customWidth="1"/>
    <col min="27" max="27" width="9.33203125" style="505"/>
    <col min="28" max="16384" width="9.33203125" style="410"/>
  </cols>
  <sheetData>
    <row r="1" spans="1:36" ht="48" customHeight="1" thickBot="1" x14ac:dyDescent="0.3">
      <c r="A1" s="507"/>
      <c r="B1" s="514" t="s">
        <v>43</v>
      </c>
      <c r="C1" s="515"/>
      <c r="D1" s="515"/>
      <c r="E1" s="516"/>
      <c r="F1" s="514" t="s">
        <v>44</v>
      </c>
      <c r="G1" s="515"/>
      <c r="H1" s="515"/>
      <c r="I1" s="516"/>
      <c r="J1" s="511" t="s">
        <v>427</v>
      </c>
      <c r="K1" s="512"/>
      <c r="L1" s="512"/>
      <c r="M1" s="513"/>
      <c r="N1" s="511" t="s">
        <v>431</v>
      </c>
      <c r="O1" s="512"/>
      <c r="P1" s="512"/>
      <c r="Q1" s="513"/>
      <c r="R1" s="511" t="s">
        <v>1034</v>
      </c>
      <c r="S1" s="512"/>
      <c r="T1" s="512"/>
      <c r="U1" s="513"/>
      <c r="V1" s="508" t="s">
        <v>1048</v>
      </c>
      <c r="W1" s="509"/>
      <c r="X1" s="509"/>
      <c r="Y1" s="510"/>
    </row>
    <row r="2" spans="1:36" ht="20.399999999999999" x14ac:dyDescent="0.25">
      <c r="A2" s="506" t="s">
        <v>45</v>
      </c>
      <c r="B2" s="435" t="s">
        <v>403</v>
      </c>
      <c r="C2" s="452" t="s">
        <v>1029</v>
      </c>
      <c r="D2" s="453" t="s">
        <v>1030</v>
      </c>
      <c r="E2" s="454" t="s">
        <v>1031</v>
      </c>
      <c r="F2" s="435" t="s">
        <v>403</v>
      </c>
      <c r="G2" s="452" t="s">
        <v>1029</v>
      </c>
      <c r="H2" s="453" t="s">
        <v>1030</v>
      </c>
      <c r="I2" s="454" t="s">
        <v>1031</v>
      </c>
      <c r="J2" s="464" t="s">
        <v>403</v>
      </c>
      <c r="K2" s="465" t="s">
        <v>1029</v>
      </c>
      <c r="L2" s="466" t="s">
        <v>1030</v>
      </c>
      <c r="M2" s="467" t="s">
        <v>1031</v>
      </c>
      <c r="N2" s="464" t="s">
        <v>403</v>
      </c>
      <c r="O2" s="465" t="s">
        <v>1029</v>
      </c>
      <c r="P2" s="466" t="s">
        <v>1030</v>
      </c>
      <c r="Q2" s="467" t="s">
        <v>1031</v>
      </c>
      <c r="R2" s="464" t="s">
        <v>403</v>
      </c>
      <c r="S2" s="465" t="s">
        <v>1029</v>
      </c>
      <c r="T2" s="466" t="s">
        <v>1030</v>
      </c>
      <c r="U2" s="467" t="s">
        <v>1031</v>
      </c>
      <c r="V2" s="464" t="s">
        <v>1052</v>
      </c>
      <c r="W2" s="465" t="s">
        <v>1029</v>
      </c>
      <c r="X2" s="466" t="s">
        <v>1030</v>
      </c>
      <c r="Y2" s="467" t="s">
        <v>1031</v>
      </c>
    </row>
    <row r="3" spans="1:36" ht="12.75" customHeight="1" x14ac:dyDescent="0.25">
      <c r="A3" s="411" t="s">
        <v>46</v>
      </c>
      <c r="B3" s="436">
        <v>746242</v>
      </c>
      <c r="C3" s="412">
        <v>69200</v>
      </c>
      <c r="D3" s="412">
        <v>211892</v>
      </c>
      <c r="E3" s="442">
        <v>465150</v>
      </c>
      <c r="F3" s="436">
        <v>732036</v>
      </c>
      <c r="G3" s="412">
        <v>70800</v>
      </c>
      <c r="H3" s="412">
        <v>216486</v>
      </c>
      <c r="I3" s="442">
        <v>444750</v>
      </c>
      <c r="J3" s="436">
        <f>SUM(K3:M3)</f>
        <v>761000.40735624987</v>
      </c>
      <c r="K3" s="412">
        <f>SUM(K4:K16)</f>
        <v>70800</v>
      </c>
      <c r="L3" s="413">
        <f>SUM(L4:L16)</f>
        <v>242403.4</v>
      </c>
      <c r="M3" s="437">
        <f>SUM(M4:M16)</f>
        <v>447797.0073562499</v>
      </c>
      <c r="N3" s="436">
        <f>SUM(O3:Q3)</f>
        <v>741908.58499666653</v>
      </c>
      <c r="O3" s="412">
        <f>SUM(O4:O16)</f>
        <v>46200</v>
      </c>
      <c r="P3" s="413">
        <f>SUM(P4:P16)</f>
        <v>271494</v>
      </c>
      <c r="Q3" s="437">
        <f>SUM(Q4:Q16)</f>
        <v>424214.58499666658</v>
      </c>
      <c r="R3" s="436">
        <f>SUM(S3:U3)</f>
        <v>822086</v>
      </c>
      <c r="S3" s="412">
        <f>SUM(S4:S16)</f>
        <v>48016</v>
      </c>
      <c r="T3" s="413">
        <f>SUM(T4:T16)</f>
        <v>283488</v>
      </c>
      <c r="U3" s="437">
        <f>SUM(U4:U16)</f>
        <v>490582</v>
      </c>
      <c r="V3" s="436">
        <f>SUM(W3:Y3)</f>
        <v>757254</v>
      </c>
      <c r="W3" s="412">
        <f>SUM(W4:W16)</f>
        <v>4000</v>
      </c>
      <c r="X3" s="413">
        <f>SUM(X4:X16)</f>
        <v>302414</v>
      </c>
      <c r="Y3" s="437">
        <f>SUM(Y4:Y16)</f>
        <v>450840</v>
      </c>
    </row>
    <row r="4" spans="1:36" ht="12.75" customHeight="1" x14ac:dyDescent="0.25">
      <c r="A4" s="414" t="s">
        <v>48</v>
      </c>
      <c r="B4" s="438">
        <v>486680</v>
      </c>
      <c r="C4" s="415">
        <v>33200</v>
      </c>
      <c r="D4" s="415">
        <v>151480</v>
      </c>
      <c r="E4" s="443">
        <v>302000</v>
      </c>
      <c r="F4" s="438">
        <v>485625</v>
      </c>
      <c r="G4" s="415">
        <v>34000</v>
      </c>
      <c r="H4" s="415">
        <v>154525</v>
      </c>
      <c r="I4" s="443">
        <v>297100</v>
      </c>
      <c r="J4" s="438">
        <f t="shared" ref="J4:J62" si="0">SUM(K4:M4)</f>
        <v>509214.17650624993</v>
      </c>
      <c r="K4" s="415">
        <v>34000</v>
      </c>
      <c r="L4" s="416">
        <f>Budget_CfgOA_2023!S6</f>
        <v>170062.4</v>
      </c>
      <c r="M4" s="439">
        <f>Budget_VROA_2023!B3</f>
        <v>305151.77650624997</v>
      </c>
      <c r="N4" s="438">
        <f t="shared" ref="N4:N62" si="1">SUM(O4:Q4)</f>
        <v>514602.36772666662</v>
      </c>
      <c r="O4" s="415">
        <f>CEILING('Detail 2024-NROA-bron'!D6*1.04,100)</f>
        <v>39100</v>
      </c>
      <c r="P4" s="416">
        <f>Budget_CfgOA_2024!D6</f>
        <v>191062</v>
      </c>
      <c r="Q4" s="443">
        <f>Budget_VROA_2024!B3</f>
        <v>284440.36772666662</v>
      </c>
      <c r="R4" s="438">
        <f t="shared" ref="R4:R16" si="2">SUM(S4:U4)</f>
        <v>486894</v>
      </c>
      <c r="S4" s="415">
        <f>ROUND((445+2467.31+320.05)*1.032,0)*6</f>
        <v>20016</v>
      </c>
      <c r="T4" s="415">
        <v>176960</v>
      </c>
      <c r="U4" s="443">
        <v>289918</v>
      </c>
      <c r="V4" s="438">
        <f t="shared" ref="V4:V16" si="3">SUM(W4:Y4)</f>
        <v>452394</v>
      </c>
      <c r="W4" s="415">
        <f>+ROUND(320*12*1.02/100+1,0)*100</f>
        <v>4000</v>
      </c>
      <c r="X4" s="415">
        <v>199024</v>
      </c>
      <c r="Y4" s="443">
        <v>249370</v>
      </c>
    </row>
    <row r="5" spans="1:36" ht="12.75" customHeight="1" x14ac:dyDescent="0.25">
      <c r="A5" s="414" t="s">
        <v>1051</v>
      </c>
      <c r="B5" s="438">
        <v>10000</v>
      </c>
      <c r="C5" s="415">
        <v>0</v>
      </c>
      <c r="D5" s="415">
        <v>0</v>
      </c>
      <c r="E5" s="443">
        <v>10000</v>
      </c>
      <c r="F5" s="438">
        <v>12850</v>
      </c>
      <c r="G5" s="415">
        <v>0</v>
      </c>
      <c r="H5" s="415">
        <v>0</v>
      </c>
      <c r="I5" s="443">
        <v>12850</v>
      </c>
      <c r="J5" s="438">
        <f t="shared" si="0"/>
        <v>12932.712</v>
      </c>
      <c r="K5" s="415">
        <v>0</v>
      </c>
      <c r="L5" s="416">
        <v>0</v>
      </c>
      <c r="M5" s="439">
        <f>Budget_VROA_2023!B4</f>
        <v>12932.712</v>
      </c>
      <c r="N5" s="438">
        <f t="shared" si="1"/>
        <v>15272.816000000001</v>
      </c>
      <c r="O5" s="415">
        <v>0</v>
      </c>
      <c r="P5" s="416">
        <v>0</v>
      </c>
      <c r="Q5" s="443">
        <f>Budget_VROA_2024!B4</f>
        <v>15272.816000000001</v>
      </c>
      <c r="R5" s="438">
        <f t="shared" si="2"/>
        <v>15578</v>
      </c>
      <c r="S5" s="415">
        <v>0</v>
      </c>
      <c r="T5" s="415">
        <v>0</v>
      </c>
      <c r="U5" s="443">
        <v>15578</v>
      </c>
      <c r="V5" s="438">
        <f t="shared" si="3"/>
        <v>98198</v>
      </c>
      <c r="W5" s="415">
        <v>0</v>
      </c>
      <c r="X5" s="415">
        <v>0</v>
      </c>
      <c r="Y5" s="443">
        <f>76378+21820</f>
        <v>98198</v>
      </c>
    </row>
    <row r="6" spans="1:36" ht="12.75" customHeight="1" x14ac:dyDescent="0.25">
      <c r="A6" s="414" t="s">
        <v>51</v>
      </c>
      <c r="B6" s="438">
        <v>44600</v>
      </c>
      <c r="C6" s="415">
        <v>14000</v>
      </c>
      <c r="D6" s="415">
        <v>8000</v>
      </c>
      <c r="E6" s="443">
        <v>22600</v>
      </c>
      <c r="F6" s="438">
        <v>46880</v>
      </c>
      <c r="G6" s="415">
        <v>14600</v>
      </c>
      <c r="H6" s="415">
        <v>8080</v>
      </c>
      <c r="I6" s="443">
        <v>24200</v>
      </c>
      <c r="J6" s="438">
        <f t="shared" si="0"/>
        <v>43151.294249999992</v>
      </c>
      <c r="K6" s="415">
        <v>14600</v>
      </c>
      <c r="L6" s="416">
        <f>Budget_CfgOA_2023!S10</f>
        <v>8161</v>
      </c>
      <c r="M6" s="439">
        <f>Budget_VROA_2023!B5</f>
        <v>20390.294249999995</v>
      </c>
      <c r="N6" s="438">
        <f t="shared" si="1"/>
        <v>33636.907999999996</v>
      </c>
      <c r="O6" s="415">
        <v>0</v>
      </c>
      <c r="P6" s="416">
        <f>Budget_CfgOA_2024!D7</f>
        <v>9770</v>
      </c>
      <c r="Q6" s="443">
        <f>Budget_VROA_2024!B5</f>
        <v>23866.907999999996</v>
      </c>
      <c r="R6" s="438">
        <f t="shared" si="2"/>
        <v>34535</v>
      </c>
      <c r="S6" s="415">
        <v>0</v>
      </c>
      <c r="T6" s="415">
        <v>10190</v>
      </c>
      <c r="U6" s="443">
        <v>24345</v>
      </c>
      <c r="V6" s="438">
        <f t="shared" si="3"/>
        <v>34098</v>
      </c>
      <c r="W6" s="415">
        <v>0</v>
      </c>
      <c r="X6" s="415">
        <v>10598</v>
      </c>
      <c r="Y6" s="443">
        <v>23500</v>
      </c>
    </row>
    <row r="7" spans="1:36" ht="12.75" customHeight="1" x14ac:dyDescent="0.25">
      <c r="A7" s="414" t="s">
        <v>52</v>
      </c>
      <c r="B7" s="440">
        <v>250</v>
      </c>
      <c r="C7" s="417">
        <v>0</v>
      </c>
      <c r="D7" s="417">
        <v>0</v>
      </c>
      <c r="E7" s="444">
        <v>250</v>
      </c>
      <c r="F7" s="440">
        <v>300</v>
      </c>
      <c r="G7" s="417">
        <v>0</v>
      </c>
      <c r="H7" s="417">
        <v>0</v>
      </c>
      <c r="I7" s="444">
        <v>300</v>
      </c>
      <c r="J7" s="438">
        <f t="shared" si="0"/>
        <v>323.40800000000002</v>
      </c>
      <c r="K7" s="415">
        <v>0</v>
      </c>
      <c r="L7" s="416">
        <v>0</v>
      </c>
      <c r="M7" s="439">
        <f>Budget_VROA_2023!B6</f>
        <v>323.40800000000002</v>
      </c>
      <c r="N7" s="438">
        <f t="shared" si="1"/>
        <v>416.83200000000005</v>
      </c>
      <c r="O7" s="415">
        <v>0</v>
      </c>
      <c r="P7" s="416">
        <v>0</v>
      </c>
      <c r="Q7" s="443">
        <f>Budget_VROA_2024!B6</f>
        <v>416.83200000000005</v>
      </c>
      <c r="R7" s="438">
        <f t="shared" si="2"/>
        <v>425</v>
      </c>
      <c r="S7" s="415">
        <v>0</v>
      </c>
      <c r="T7" s="415">
        <v>0</v>
      </c>
      <c r="U7" s="443">
        <v>425</v>
      </c>
      <c r="V7" s="438">
        <f t="shared" si="3"/>
        <v>250</v>
      </c>
      <c r="W7" s="415">
        <v>0</v>
      </c>
      <c r="X7" s="415">
        <v>0</v>
      </c>
      <c r="Y7" s="443">
        <v>250</v>
      </c>
    </row>
    <row r="8" spans="1:36" ht="12.75" customHeight="1" x14ac:dyDescent="0.25">
      <c r="A8" s="414" t="s">
        <v>53</v>
      </c>
      <c r="B8" s="438">
        <v>5300</v>
      </c>
      <c r="C8" s="417">
        <v>0</v>
      </c>
      <c r="D8" s="417">
        <v>0</v>
      </c>
      <c r="E8" s="443">
        <v>5300</v>
      </c>
      <c r="F8" s="440">
        <v>0</v>
      </c>
      <c r="G8" s="417">
        <v>0</v>
      </c>
      <c r="H8" s="417">
        <v>0</v>
      </c>
      <c r="I8" s="444">
        <v>0</v>
      </c>
      <c r="J8" s="438">
        <f t="shared" si="0"/>
        <v>0</v>
      </c>
      <c r="K8" s="415">
        <v>0</v>
      </c>
      <c r="L8" s="416">
        <v>0</v>
      </c>
      <c r="M8" s="439">
        <f>Budget_VROA_2023!B7</f>
        <v>0</v>
      </c>
      <c r="N8" s="438">
        <f t="shared" si="1"/>
        <v>0</v>
      </c>
      <c r="O8" s="415">
        <v>0</v>
      </c>
      <c r="P8" s="416">
        <v>0</v>
      </c>
      <c r="Q8" s="443">
        <f>Budget_VROA_2024!B7</f>
        <v>0</v>
      </c>
      <c r="R8" s="438">
        <f t="shared" si="2"/>
        <v>0</v>
      </c>
      <c r="S8" s="415">
        <v>0</v>
      </c>
      <c r="T8" s="415">
        <v>0</v>
      </c>
      <c r="U8" s="443">
        <v>0</v>
      </c>
      <c r="V8" s="438">
        <f t="shared" si="3"/>
        <v>0</v>
      </c>
      <c r="W8" s="415">
        <v>0</v>
      </c>
      <c r="X8" s="415">
        <v>0</v>
      </c>
      <c r="Y8" s="443">
        <v>0</v>
      </c>
    </row>
    <row r="9" spans="1:36" ht="12.75" customHeight="1" x14ac:dyDescent="0.25">
      <c r="A9" s="414" t="s">
        <v>54</v>
      </c>
      <c r="B9" s="438">
        <v>44000</v>
      </c>
      <c r="C9" s="417">
        <v>0</v>
      </c>
      <c r="D9" s="417">
        <v>0</v>
      </c>
      <c r="E9" s="443">
        <v>44000</v>
      </c>
      <c r="F9" s="438">
        <v>31000</v>
      </c>
      <c r="G9" s="417">
        <v>0</v>
      </c>
      <c r="H9" s="417">
        <v>0</v>
      </c>
      <c r="I9" s="443">
        <v>31000</v>
      </c>
      <c r="J9" s="438">
        <f t="shared" si="0"/>
        <v>29800</v>
      </c>
      <c r="K9" s="415">
        <v>0</v>
      </c>
      <c r="L9" s="416">
        <v>0</v>
      </c>
      <c r="M9" s="439">
        <f>Budget_VROA_2023!B8</f>
        <v>29800</v>
      </c>
      <c r="N9" s="438">
        <f t="shared" si="1"/>
        <v>29900</v>
      </c>
      <c r="O9" s="415">
        <v>0</v>
      </c>
      <c r="P9" s="416">
        <v>0</v>
      </c>
      <c r="Q9" s="443">
        <f>Budget_VROA_2024!B8</f>
        <v>29900</v>
      </c>
      <c r="R9" s="438">
        <f t="shared" si="2"/>
        <v>29900</v>
      </c>
      <c r="S9" s="415">
        <v>0</v>
      </c>
      <c r="T9" s="415">
        <v>0</v>
      </c>
      <c r="U9" s="443">
        <v>29900</v>
      </c>
      <c r="V9" s="438">
        <f t="shared" si="3"/>
        <v>9830</v>
      </c>
      <c r="W9" s="415">
        <v>0</v>
      </c>
      <c r="X9" s="415">
        <v>0</v>
      </c>
      <c r="Y9" s="443">
        <v>9830</v>
      </c>
    </row>
    <row r="10" spans="1:36" ht="12.75" customHeight="1" x14ac:dyDescent="0.25">
      <c r="A10" s="414" t="s">
        <v>55</v>
      </c>
      <c r="B10" s="438">
        <v>85912</v>
      </c>
      <c r="C10" s="415">
        <v>4000</v>
      </c>
      <c r="D10" s="415">
        <v>41912</v>
      </c>
      <c r="E10" s="443">
        <v>40000</v>
      </c>
      <c r="F10" s="438">
        <v>83431</v>
      </c>
      <c r="G10" s="415">
        <v>4100</v>
      </c>
      <c r="H10" s="415">
        <v>42331</v>
      </c>
      <c r="I10" s="443">
        <v>37000</v>
      </c>
      <c r="J10" s="438">
        <f t="shared" si="0"/>
        <v>80100.328000000009</v>
      </c>
      <c r="K10" s="415">
        <v>4100</v>
      </c>
      <c r="L10" s="416">
        <f>Budget_CfgOA_2023!S17</f>
        <v>42755</v>
      </c>
      <c r="M10" s="439">
        <f>Budget_VROA_2023!B9</f>
        <v>33245.328000000001</v>
      </c>
      <c r="N10" s="438">
        <f t="shared" si="1"/>
        <v>81076.104800000001</v>
      </c>
      <c r="O10" s="415">
        <f>FLOOR((312.98*1.21)*11,100)</f>
        <v>4100</v>
      </c>
      <c r="P10" s="416">
        <f>Budget_CfgOA_2024!D9</f>
        <v>48492</v>
      </c>
      <c r="Q10" s="443">
        <f>Budget_VROA_2024!B9</f>
        <v>28484.104799999997</v>
      </c>
      <c r="R10" s="438">
        <f t="shared" si="2"/>
        <v>88814</v>
      </c>
      <c r="S10" s="415">
        <v>2000</v>
      </c>
      <c r="T10" s="415">
        <v>50577</v>
      </c>
      <c r="U10" s="443">
        <v>36237</v>
      </c>
      <c r="V10" s="438">
        <f t="shared" si="3"/>
        <v>76792</v>
      </c>
      <c r="W10" s="415">
        <v>0</v>
      </c>
      <c r="X10" s="415">
        <v>52600</v>
      </c>
      <c r="Y10" s="443">
        <v>24192</v>
      </c>
    </row>
    <row r="11" spans="1:36" ht="12.75" customHeight="1" x14ac:dyDescent="0.25">
      <c r="A11" s="414" t="s">
        <v>56</v>
      </c>
      <c r="B11" s="438">
        <v>21000</v>
      </c>
      <c r="C11" s="417">
        <v>0</v>
      </c>
      <c r="D11" s="417">
        <v>0</v>
      </c>
      <c r="E11" s="443">
        <v>21000</v>
      </c>
      <c r="F11" s="438">
        <v>20300</v>
      </c>
      <c r="G11" s="417">
        <v>0</v>
      </c>
      <c r="H11" s="417">
        <v>0</v>
      </c>
      <c r="I11" s="443">
        <v>20300</v>
      </c>
      <c r="J11" s="438">
        <f t="shared" si="0"/>
        <v>19648.928599999999</v>
      </c>
      <c r="K11" s="415">
        <v>0</v>
      </c>
      <c r="L11" s="416">
        <f>SUM(Budget_CfgOA_2023!S18:S19)</f>
        <v>4100</v>
      </c>
      <c r="M11" s="439">
        <f>Budget_VROA_2023!B10</f>
        <v>15548.928599999999</v>
      </c>
      <c r="N11" s="438">
        <f t="shared" si="1"/>
        <v>20237.270349999999</v>
      </c>
      <c r="O11" s="415">
        <v>0</v>
      </c>
      <c r="P11" s="416">
        <f>Budget_CfgOA_2024!D10+Budget_CfgOA_2024!D11</f>
        <v>4100</v>
      </c>
      <c r="Q11" s="443">
        <f>Budget_VROA_2024!B10</f>
        <v>16137.270349999997</v>
      </c>
      <c r="R11" s="438">
        <f t="shared" si="2"/>
        <v>18763</v>
      </c>
      <c r="S11" s="415">
        <v>0</v>
      </c>
      <c r="T11" s="415">
        <v>2500</v>
      </c>
      <c r="U11" s="443">
        <v>16263</v>
      </c>
      <c r="V11" s="438">
        <f t="shared" si="3"/>
        <v>15300</v>
      </c>
      <c r="W11" s="415">
        <v>0</v>
      </c>
      <c r="X11" s="415">
        <v>1000</v>
      </c>
      <c r="Y11" s="443">
        <v>14300</v>
      </c>
    </row>
    <row r="12" spans="1:36" ht="12.75" customHeight="1" x14ac:dyDescent="0.25">
      <c r="A12" s="414" t="s">
        <v>182</v>
      </c>
      <c r="B12" s="438">
        <v>25000</v>
      </c>
      <c r="C12" s="415">
        <v>15000</v>
      </c>
      <c r="D12" s="417">
        <v>0</v>
      </c>
      <c r="E12" s="443">
        <v>10000</v>
      </c>
      <c r="F12" s="438">
        <v>25000</v>
      </c>
      <c r="G12" s="415">
        <v>15000</v>
      </c>
      <c r="H12" s="417">
        <v>0</v>
      </c>
      <c r="I12" s="443">
        <v>10000</v>
      </c>
      <c r="J12" s="438">
        <f t="shared" si="0"/>
        <v>22500</v>
      </c>
      <c r="K12" s="415">
        <v>15000</v>
      </c>
      <c r="L12" s="416">
        <v>0</v>
      </c>
      <c r="M12" s="439">
        <f>Budget_VROA_2023!B11</f>
        <v>7500</v>
      </c>
      <c r="N12" s="438">
        <f t="shared" si="1"/>
        <v>8000</v>
      </c>
      <c r="O12" s="415">
        <v>500</v>
      </c>
      <c r="P12" s="416">
        <v>0</v>
      </c>
      <c r="Q12" s="443">
        <f>Budget_VROA_2024!B11</f>
        <v>7500</v>
      </c>
      <c r="R12" s="438">
        <f t="shared" si="2"/>
        <v>59350</v>
      </c>
      <c r="S12" s="415">
        <v>500</v>
      </c>
      <c r="T12" s="415">
        <v>0</v>
      </c>
      <c r="U12" s="443">
        <v>58850</v>
      </c>
      <c r="V12" s="438">
        <f t="shared" si="3"/>
        <v>21275</v>
      </c>
      <c r="W12" s="415">
        <v>0</v>
      </c>
      <c r="X12" s="415">
        <v>0</v>
      </c>
      <c r="Y12" s="443">
        <v>21275</v>
      </c>
    </row>
    <row r="13" spans="1:36" ht="12.75" customHeight="1" x14ac:dyDescent="0.25">
      <c r="A13" s="414" t="s">
        <v>57</v>
      </c>
      <c r="B13" s="440">
        <v>0</v>
      </c>
      <c r="C13" s="417">
        <v>0</v>
      </c>
      <c r="D13" s="417">
        <v>0</v>
      </c>
      <c r="E13" s="444">
        <v>0</v>
      </c>
      <c r="F13" s="440">
        <v>0</v>
      </c>
      <c r="G13" s="417">
        <v>0</v>
      </c>
      <c r="H13" s="417">
        <v>0</v>
      </c>
      <c r="I13" s="445"/>
      <c r="J13" s="438">
        <f t="shared" si="0"/>
        <v>0</v>
      </c>
      <c r="K13" s="415">
        <v>0</v>
      </c>
      <c r="L13" s="416">
        <v>0</v>
      </c>
      <c r="M13" s="439">
        <f>Budget_VROA_2023!B12</f>
        <v>0</v>
      </c>
      <c r="N13" s="438">
        <f t="shared" si="1"/>
        <v>600</v>
      </c>
      <c r="O13" s="415">
        <v>0</v>
      </c>
      <c r="P13" s="416">
        <v>0</v>
      </c>
      <c r="Q13" s="443">
        <f>Budget_VROA_2024!B12</f>
        <v>600</v>
      </c>
      <c r="R13" s="438">
        <f t="shared" si="2"/>
        <v>1250</v>
      </c>
      <c r="S13" s="415">
        <v>0</v>
      </c>
      <c r="T13" s="415">
        <v>0</v>
      </c>
      <c r="U13" s="443">
        <v>1250</v>
      </c>
      <c r="V13" s="438">
        <f t="shared" si="3"/>
        <v>1400</v>
      </c>
      <c r="W13" s="415">
        <v>0</v>
      </c>
      <c r="X13" s="415">
        <v>0</v>
      </c>
      <c r="Y13" s="443">
        <v>1400</v>
      </c>
    </row>
    <row r="14" spans="1:36" ht="12.75" customHeight="1" x14ac:dyDescent="0.25">
      <c r="A14" s="414" t="s">
        <v>58</v>
      </c>
      <c r="B14" s="440">
        <v>0</v>
      </c>
      <c r="C14" s="417">
        <v>0</v>
      </c>
      <c r="D14" s="417">
        <v>0</v>
      </c>
      <c r="E14" s="444">
        <v>0</v>
      </c>
      <c r="F14" s="440">
        <v>0</v>
      </c>
      <c r="G14" s="417">
        <v>0</v>
      </c>
      <c r="H14" s="417">
        <v>0</v>
      </c>
      <c r="I14" s="445"/>
      <c r="J14" s="438">
        <f t="shared" si="0"/>
        <v>0</v>
      </c>
      <c r="K14" s="415">
        <v>0</v>
      </c>
      <c r="L14" s="416">
        <v>0</v>
      </c>
      <c r="M14" s="439">
        <v>0</v>
      </c>
      <c r="N14" s="438">
        <f t="shared" si="1"/>
        <v>0</v>
      </c>
      <c r="O14" s="415">
        <v>0</v>
      </c>
      <c r="P14" s="416">
        <v>0</v>
      </c>
      <c r="Q14" s="443">
        <v>0</v>
      </c>
      <c r="R14" s="438">
        <f t="shared" si="2"/>
        <v>0</v>
      </c>
      <c r="S14" s="415">
        <v>0</v>
      </c>
      <c r="T14" s="415">
        <v>0</v>
      </c>
      <c r="U14" s="443">
        <v>0</v>
      </c>
      <c r="V14" s="438">
        <f t="shared" si="3"/>
        <v>0</v>
      </c>
      <c r="W14" s="415">
        <v>0</v>
      </c>
      <c r="X14" s="415">
        <v>0</v>
      </c>
      <c r="Y14" s="443">
        <v>0</v>
      </c>
    </row>
    <row r="15" spans="1:36" ht="12.75" customHeight="1" x14ac:dyDescent="0.25">
      <c r="A15" s="414" t="s">
        <v>59</v>
      </c>
      <c r="B15" s="440">
        <v>23500</v>
      </c>
      <c r="C15" s="417">
        <v>3000</v>
      </c>
      <c r="D15" s="417">
        <v>10500</v>
      </c>
      <c r="E15" s="444">
        <v>10000</v>
      </c>
      <c r="F15" s="440">
        <v>26650</v>
      </c>
      <c r="G15" s="417">
        <v>3100</v>
      </c>
      <c r="H15" s="417">
        <v>11550</v>
      </c>
      <c r="I15" s="445">
        <v>12000</v>
      </c>
      <c r="J15" s="438">
        <f t="shared" si="0"/>
        <v>43329.56</v>
      </c>
      <c r="K15" s="415">
        <v>3100</v>
      </c>
      <c r="L15" s="416">
        <f>Budget_CfgOA_2023!S11</f>
        <v>17325</v>
      </c>
      <c r="M15" s="439">
        <f>Budget_VROA_2023!B13</f>
        <v>22904.560000000001</v>
      </c>
      <c r="N15" s="438">
        <f t="shared" si="1"/>
        <v>38166.286120000004</v>
      </c>
      <c r="O15" s="415">
        <f>CEILING('Detail 2024-NROA-bron'!D11*1.04,100)</f>
        <v>2500</v>
      </c>
      <c r="P15" s="416">
        <f>Budget_CfgOA_2024!D8</f>
        <v>18070</v>
      </c>
      <c r="Q15" s="443">
        <f>Budget_VROA_2024!B13</f>
        <v>17596.286120000001</v>
      </c>
      <c r="R15" s="438">
        <f t="shared" si="2"/>
        <v>42377</v>
      </c>
      <c r="S15" s="415">
        <v>1300</v>
      </c>
      <c r="T15" s="415">
        <v>23261</v>
      </c>
      <c r="U15" s="443">
        <v>17816</v>
      </c>
      <c r="V15" s="438">
        <f t="shared" si="3"/>
        <v>32717</v>
      </c>
      <c r="W15" s="415">
        <v>0</v>
      </c>
      <c r="X15" s="415">
        <v>24192</v>
      </c>
      <c r="Y15" s="443">
        <v>8525</v>
      </c>
    </row>
    <row r="16" spans="1:36" ht="12.75" customHeight="1" x14ac:dyDescent="0.25">
      <c r="A16" s="414" t="s">
        <v>1035</v>
      </c>
      <c r="B16" s="440">
        <v>0</v>
      </c>
      <c r="C16" s="417">
        <v>0</v>
      </c>
      <c r="D16" s="417">
        <v>0</v>
      </c>
      <c r="E16" s="444">
        <v>0</v>
      </c>
      <c r="F16" s="440">
        <v>0</v>
      </c>
      <c r="G16" s="418"/>
      <c r="H16" s="417">
        <v>0</v>
      </c>
      <c r="I16" s="445"/>
      <c r="J16" s="468">
        <f t="shared" si="0"/>
        <v>0</v>
      </c>
      <c r="K16" s="469">
        <v>0</v>
      </c>
      <c r="L16" s="416">
        <v>0</v>
      </c>
      <c r="M16" s="439">
        <v>0</v>
      </c>
      <c r="N16" s="438">
        <f t="shared" si="1"/>
        <v>0</v>
      </c>
      <c r="O16" s="415">
        <v>0</v>
      </c>
      <c r="P16" s="416">
        <f>Budget_CfgOA_2024!D12</f>
        <v>0</v>
      </c>
      <c r="Q16" s="443">
        <v>0</v>
      </c>
      <c r="R16" s="468">
        <f t="shared" si="2"/>
        <v>44200</v>
      </c>
      <c r="S16" s="415">
        <v>24200</v>
      </c>
      <c r="T16" s="415">
        <v>20000</v>
      </c>
      <c r="U16" s="443">
        <v>0</v>
      </c>
      <c r="V16" s="468">
        <f t="shared" si="3"/>
        <v>15000</v>
      </c>
      <c r="W16" s="415">
        <v>0</v>
      </c>
      <c r="X16" s="415">
        <v>15000</v>
      </c>
      <c r="Y16" s="443">
        <v>0</v>
      </c>
      <c r="Z16" s="497"/>
    </row>
    <row r="17" spans="1:26" ht="12.75" customHeight="1" x14ac:dyDescent="0.25">
      <c r="A17" s="411" t="s">
        <v>62</v>
      </c>
      <c r="B17" s="436">
        <v>214890</v>
      </c>
      <c r="C17" s="412">
        <v>12050</v>
      </c>
      <c r="D17" s="412">
        <v>98740</v>
      </c>
      <c r="E17" s="442">
        <v>104100</v>
      </c>
      <c r="F17" s="436">
        <v>228090</v>
      </c>
      <c r="G17" s="412">
        <v>12050</v>
      </c>
      <c r="H17" s="412">
        <v>112540</v>
      </c>
      <c r="I17" s="442">
        <v>103500</v>
      </c>
      <c r="J17" s="436">
        <f t="shared" si="0"/>
        <v>289492.8296</v>
      </c>
      <c r="K17" s="412">
        <f>SUM(K18:K30)</f>
        <v>71550</v>
      </c>
      <c r="L17" s="412">
        <f>SUM(L18:L30)</f>
        <v>109522</v>
      </c>
      <c r="M17" s="442">
        <f>SUM(M18:M30)</f>
        <v>108420.82960000001</v>
      </c>
      <c r="N17" s="436">
        <f t="shared" si="1"/>
        <v>233094.95882925001</v>
      </c>
      <c r="O17" s="412">
        <f>SUM(O18:O30)</f>
        <v>6260</v>
      </c>
      <c r="P17" s="412">
        <f>SUM(P18:P30)</f>
        <v>110543</v>
      </c>
      <c r="Q17" s="442">
        <f>SUM(Q18:Q30)</f>
        <v>116291.95882925</v>
      </c>
      <c r="R17" s="436">
        <f t="shared" ref="R17:R30" si="4">SUM(S17:U17)</f>
        <v>217091</v>
      </c>
      <c r="S17" s="412">
        <f>SUM(S18:S30)</f>
        <v>0</v>
      </c>
      <c r="T17" s="412">
        <f>SUM(T18:T30)</f>
        <v>107897</v>
      </c>
      <c r="U17" s="442">
        <f>SUM(U18:U30)</f>
        <v>109194</v>
      </c>
      <c r="V17" s="436">
        <f t="shared" ref="V17:V30" si="5">SUM(W17:Y17)</f>
        <v>248335</v>
      </c>
      <c r="W17" s="412">
        <f>SUM(W18:W30)</f>
        <v>50000</v>
      </c>
      <c r="X17" s="412">
        <f>SUM(X18:X30)</f>
        <v>101843</v>
      </c>
      <c r="Y17" s="442">
        <f>SUM(Y18:Y30)</f>
        <v>96492</v>
      </c>
      <c r="Z17" s="497"/>
    </row>
    <row r="18" spans="1:26" ht="12.75" customHeight="1" x14ac:dyDescent="0.25">
      <c r="A18" s="414" t="s">
        <v>283</v>
      </c>
      <c r="B18" s="438">
        <v>18370</v>
      </c>
      <c r="C18" s="415">
        <v>1000</v>
      </c>
      <c r="D18" s="415">
        <v>12370</v>
      </c>
      <c r="E18" s="443">
        <v>5000</v>
      </c>
      <c r="F18" s="438">
        <v>18541</v>
      </c>
      <c r="G18" s="415">
        <v>1000</v>
      </c>
      <c r="H18" s="415">
        <v>12741</v>
      </c>
      <c r="I18" s="443">
        <v>4800</v>
      </c>
      <c r="J18" s="438">
        <f t="shared" si="0"/>
        <v>16101.509599999999</v>
      </c>
      <c r="K18" s="415">
        <v>1000</v>
      </c>
      <c r="L18" s="415">
        <f>Budget_CfgOA_2023!S25</f>
        <v>12868</v>
      </c>
      <c r="M18" s="443">
        <f>Budget_VROA_2023!B15</f>
        <v>2233.5095999999999</v>
      </c>
      <c r="N18" s="438">
        <f t="shared" si="1"/>
        <v>16668</v>
      </c>
      <c r="O18" s="415">
        <f>CEILING('Detail 2024-NROA-bron'!D16,100)</f>
        <v>1400</v>
      </c>
      <c r="P18" s="415">
        <f>Budget_CfgOA_2024!D17</f>
        <v>12868</v>
      </c>
      <c r="Q18" s="443">
        <f>Budget_VROA_2024!B15</f>
        <v>2400</v>
      </c>
      <c r="R18" s="438">
        <f t="shared" si="4"/>
        <v>15525</v>
      </c>
      <c r="S18" s="415">
        <v>0</v>
      </c>
      <c r="T18" s="415">
        <v>13125</v>
      </c>
      <c r="U18" s="443">
        <v>2400</v>
      </c>
      <c r="V18" s="438">
        <f t="shared" si="5"/>
        <v>10563</v>
      </c>
      <c r="W18" s="415">
        <v>0</v>
      </c>
      <c r="X18" s="415">
        <v>8313</v>
      </c>
      <c r="Y18" s="443">
        <v>2250</v>
      </c>
    </row>
    <row r="19" spans="1:26" ht="12.75" customHeight="1" x14ac:dyDescent="0.25">
      <c r="A19" s="414" t="s">
        <v>66</v>
      </c>
      <c r="B19" s="438">
        <v>47250</v>
      </c>
      <c r="C19" s="417">
        <v>250</v>
      </c>
      <c r="D19" s="415">
        <v>21000</v>
      </c>
      <c r="E19" s="443">
        <v>26000</v>
      </c>
      <c r="F19" s="438">
        <v>48300</v>
      </c>
      <c r="G19" s="417">
        <v>250</v>
      </c>
      <c r="H19" s="415">
        <v>22050</v>
      </c>
      <c r="I19" s="443">
        <v>26000</v>
      </c>
      <c r="J19" s="438">
        <f t="shared" si="0"/>
        <v>47703</v>
      </c>
      <c r="K19" s="415">
        <v>250</v>
      </c>
      <c r="L19" s="415">
        <f>Budget_CfgOA_2023!S27</f>
        <v>23153</v>
      </c>
      <c r="M19" s="443">
        <f>Budget_VROA_2023!B16</f>
        <v>24300</v>
      </c>
      <c r="N19" s="438">
        <f t="shared" si="1"/>
        <v>51377.5</v>
      </c>
      <c r="O19" s="415">
        <f>250*1.04</f>
        <v>260</v>
      </c>
      <c r="P19" s="415">
        <f>Budget_CfgOA_2024!D19</f>
        <v>22000</v>
      </c>
      <c r="Q19" s="443">
        <f>Budget_VROA_2024!B16</f>
        <v>29117.5</v>
      </c>
      <c r="R19" s="438">
        <f t="shared" si="4"/>
        <v>43600</v>
      </c>
      <c r="S19" s="415">
        <v>0</v>
      </c>
      <c r="T19" s="415">
        <v>22000</v>
      </c>
      <c r="U19" s="443">
        <v>21600</v>
      </c>
      <c r="V19" s="438">
        <f t="shared" si="5"/>
        <v>42250</v>
      </c>
      <c r="W19" s="415">
        <v>0</v>
      </c>
      <c r="X19" s="415">
        <v>20000</v>
      </c>
      <c r="Y19" s="443">
        <v>22250</v>
      </c>
    </row>
    <row r="20" spans="1:26" ht="12.75" customHeight="1" x14ac:dyDescent="0.25">
      <c r="A20" s="414" t="s">
        <v>68</v>
      </c>
      <c r="B20" s="438">
        <v>50950</v>
      </c>
      <c r="C20" s="415">
        <v>3000</v>
      </c>
      <c r="D20" s="415">
        <v>20950</v>
      </c>
      <c r="E20" s="443">
        <v>27000</v>
      </c>
      <c r="F20" s="438">
        <v>63300</v>
      </c>
      <c r="G20" s="415">
        <v>3000</v>
      </c>
      <c r="H20" s="415">
        <v>30300</v>
      </c>
      <c r="I20" s="443">
        <v>30000</v>
      </c>
      <c r="J20" s="438">
        <f t="shared" si="0"/>
        <v>64690.320000000007</v>
      </c>
      <c r="K20" s="415">
        <v>3000</v>
      </c>
      <c r="L20" s="415">
        <f>Budget_CfgOA_2023!S26</f>
        <v>30603</v>
      </c>
      <c r="M20" s="443">
        <f>Budget_VROA_2023!B17</f>
        <v>31087.320000000007</v>
      </c>
      <c r="N20" s="438">
        <f t="shared" si="1"/>
        <v>63709.959200000005</v>
      </c>
      <c r="O20" s="415">
        <v>0</v>
      </c>
      <c r="P20" s="415">
        <f>Budget_CfgOA_2024!D18</f>
        <v>31919</v>
      </c>
      <c r="Q20" s="443">
        <f>Budget_VROA_2024!B17</f>
        <v>31790.959200000005</v>
      </c>
      <c r="R20" s="438">
        <f t="shared" si="4"/>
        <v>65083</v>
      </c>
      <c r="S20" s="415">
        <v>0</v>
      </c>
      <c r="T20" s="415">
        <v>33292</v>
      </c>
      <c r="U20" s="443">
        <v>31791</v>
      </c>
      <c r="V20" s="438">
        <f t="shared" si="5"/>
        <v>65954</v>
      </c>
      <c r="W20" s="415">
        <v>0</v>
      </c>
      <c r="X20" s="415">
        <v>34624</v>
      </c>
      <c r="Y20" s="443">
        <v>31330</v>
      </c>
      <c r="Z20" s="419"/>
    </row>
    <row r="21" spans="1:26" ht="12.75" customHeight="1" x14ac:dyDescent="0.25">
      <c r="A21" s="414" t="s">
        <v>70</v>
      </c>
      <c r="B21" s="438">
        <v>11000</v>
      </c>
      <c r="C21" s="415">
        <v>3000</v>
      </c>
      <c r="D21" s="415">
        <v>2000</v>
      </c>
      <c r="E21" s="443">
        <v>6000</v>
      </c>
      <c r="F21" s="438">
        <v>12020</v>
      </c>
      <c r="G21" s="415">
        <v>3000</v>
      </c>
      <c r="H21" s="415">
        <v>2020</v>
      </c>
      <c r="I21" s="443">
        <v>7000</v>
      </c>
      <c r="J21" s="438">
        <f t="shared" si="0"/>
        <v>12240</v>
      </c>
      <c r="K21" s="415">
        <v>3000</v>
      </c>
      <c r="L21" s="415">
        <f>Budget_CfgOA_2023!S28</f>
        <v>2040</v>
      </c>
      <c r="M21" s="443">
        <f>Budget_VROA_2023!B18</f>
        <v>7200</v>
      </c>
      <c r="N21" s="438">
        <f t="shared" si="1"/>
        <v>9945.5396292499991</v>
      </c>
      <c r="O21" s="415">
        <v>0</v>
      </c>
      <c r="P21" s="415">
        <f>Budget_CfgOA_2024!D20</f>
        <v>2040</v>
      </c>
      <c r="Q21" s="443">
        <f>Budget_VROA_2024!B18</f>
        <v>7905.5396292499991</v>
      </c>
      <c r="R21" s="438">
        <f t="shared" si="4"/>
        <v>9762</v>
      </c>
      <c r="S21" s="415">
        <v>0</v>
      </c>
      <c r="T21" s="415">
        <v>2040</v>
      </c>
      <c r="U21" s="443">
        <v>7722</v>
      </c>
      <c r="V21" s="438">
        <f t="shared" si="5"/>
        <v>4252</v>
      </c>
      <c r="W21" s="415">
        <v>0</v>
      </c>
      <c r="X21" s="415">
        <v>2040</v>
      </c>
      <c r="Y21" s="443">
        <v>2212</v>
      </c>
      <c r="Z21" s="419"/>
    </row>
    <row r="22" spans="1:26" ht="12.75" customHeight="1" x14ac:dyDescent="0.25">
      <c r="A22" s="414" t="s">
        <v>72</v>
      </c>
      <c r="B22" s="438">
        <v>2000</v>
      </c>
      <c r="C22" s="417">
        <v>0</v>
      </c>
      <c r="D22" s="417">
        <v>0</v>
      </c>
      <c r="E22" s="443">
        <v>2000</v>
      </c>
      <c r="F22" s="438">
        <v>2000</v>
      </c>
      <c r="G22" s="417">
        <v>0</v>
      </c>
      <c r="H22" s="417">
        <v>0</v>
      </c>
      <c r="I22" s="443">
        <v>2000</v>
      </c>
      <c r="J22" s="438">
        <f t="shared" si="0"/>
        <v>7800</v>
      </c>
      <c r="K22" s="415">
        <v>0</v>
      </c>
      <c r="L22" s="415">
        <v>0</v>
      </c>
      <c r="M22" s="443">
        <f>Budget_VROA_2023!B19</f>
        <v>7800</v>
      </c>
      <c r="N22" s="438">
        <f t="shared" si="1"/>
        <v>8552.5999999999985</v>
      </c>
      <c r="O22" s="415">
        <v>0</v>
      </c>
      <c r="P22" s="415">
        <v>0</v>
      </c>
      <c r="Q22" s="443">
        <f>Budget_VROA_2024!B19</f>
        <v>8552.5999999999985</v>
      </c>
      <c r="R22" s="438">
        <f t="shared" si="4"/>
        <v>9900</v>
      </c>
      <c r="S22" s="415">
        <v>0</v>
      </c>
      <c r="T22" s="415">
        <v>0</v>
      </c>
      <c r="U22" s="443">
        <v>9900</v>
      </c>
      <c r="V22" s="438">
        <f t="shared" si="5"/>
        <v>12150</v>
      </c>
      <c r="W22" s="415">
        <v>0</v>
      </c>
      <c r="X22" s="415">
        <v>0</v>
      </c>
      <c r="Y22" s="443">
        <v>12150</v>
      </c>
    </row>
    <row r="23" spans="1:26" ht="12.75" customHeight="1" x14ac:dyDescent="0.25">
      <c r="A23" s="414" t="s">
        <v>73</v>
      </c>
      <c r="B23" s="438">
        <v>21500</v>
      </c>
      <c r="C23" s="415">
        <v>1500</v>
      </c>
      <c r="D23" s="415">
        <v>10000</v>
      </c>
      <c r="E23" s="443">
        <v>10000</v>
      </c>
      <c r="F23" s="438">
        <v>20600</v>
      </c>
      <c r="G23" s="415">
        <v>1500</v>
      </c>
      <c r="H23" s="415">
        <v>10100</v>
      </c>
      <c r="I23" s="443">
        <v>9000</v>
      </c>
      <c r="J23" s="438">
        <f t="shared" si="0"/>
        <v>20700</v>
      </c>
      <c r="K23" s="415">
        <v>1500</v>
      </c>
      <c r="L23" s="415">
        <f>Budget_CfgOA_2023!S23</f>
        <v>10200</v>
      </c>
      <c r="M23" s="443">
        <f>Budget_VROA_2023!B20</f>
        <v>9000</v>
      </c>
      <c r="N23" s="438">
        <f t="shared" si="1"/>
        <v>14250</v>
      </c>
      <c r="O23" s="415">
        <v>1500</v>
      </c>
      <c r="P23" s="415">
        <f>Budget_CfgOA_2024!D15</f>
        <v>5000</v>
      </c>
      <c r="Q23" s="443">
        <f>Budget_VROA_2024!B20</f>
        <v>7750</v>
      </c>
      <c r="R23" s="438">
        <f t="shared" si="4"/>
        <v>11075</v>
      </c>
      <c r="S23" s="415">
        <v>0</v>
      </c>
      <c r="T23" s="415">
        <v>5000</v>
      </c>
      <c r="U23" s="443">
        <v>6075</v>
      </c>
      <c r="V23" s="438">
        <f t="shared" si="5"/>
        <v>13300</v>
      </c>
      <c r="W23" s="415">
        <v>0</v>
      </c>
      <c r="X23" s="415">
        <v>5000</v>
      </c>
      <c r="Y23" s="443">
        <v>8300</v>
      </c>
    </row>
    <row r="24" spans="1:26" ht="12.75" customHeight="1" x14ac:dyDescent="0.25">
      <c r="A24" s="414" t="s">
        <v>75</v>
      </c>
      <c r="B24" s="438">
        <v>2500</v>
      </c>
      <c r="C24" s="417">
        <v>0</v>
      </c>
      <c r="D24" s="417">
        <v>0</v>
      </c>
      <c r="E24" s="443">
        <v>2500</v>
      </c>
      <c r="F24" s="438">
        <v>2000</v>
      </c>
      <c r="G24" s="417">
        <v>0</v>
      </c>
      <c r="H24" s="417">
        <v>0</v>
      </c>
      <c r="I24" s="443">
        <v>2000</v>
      </c>
      <c r="J24" s="438">
        <f t="shared" si="0"/>
        <v>2000</v>
      </c>
      <c r="K24" s="415">
        <v>0</v>
      </c>
      <c r="L24" s="415">
        <f>0</f>
        <v>0</v>
      </c>
      <c r="M24" s="443">
        <f>Budget_VROA_2023!B21</f>
        <v>2000</v>
      </c>
      <c r="N24" s="438">
        <f t="shared" si="1"/>
        <v>1300</v>
      </c>
      <c r="O24" s="415">
        <f>CEILING(GETPIVOTDATA("AMOUNT",'draaitabel kosten  23'!$A$3,"rubriek in globaal budget","Toner imprimante etc")*1.25,100)</f>
        <v>300</v>
      </c>
      <c r="P24" s="415">
        <v>0</v>
      </c>
      <c r="Q24" s="443">
        <f>Budget_VROA_2024!B21</f>
        <v>1000</v>
      </c>
      <c r="R24" s="438">
        <f t="shared" si="4"/>
        <v>1000</v>
      </c>
      <c r="S24" s="415">
        <v>0</v>
      </c>
      <c r="T24" s="415">
        <v>0</v>
      </c>
      <c r="U24" s="443">
        <v>1000</v>
      </c>
      <c r="V24" s="438">
        <f t="shared" si="5"/>
        <v>400</v>
      </c>
      <c r="W24" s="415">
        <v>0</v>
      </c>
      <c r="X24" s="415">
        <v>0</v>
      </c>
      <c r="Y24" s="443">
        <v>400</v>
      </c>
    </row>
    <row r="25" spans="1:26" ht="12.75" customHeight="1" x14ac:dyDescent="0.25">
      <c r="A25" s="414" t="s">
        <v>77</v>
      </c>
      <c r="B25" s="438">
        <v>9000</v>
      </c>
      <c r="C25" s="417">
        <v>500</v>
      </c>
      <c r="D25" s="415">
        <v>5500</v>
      </c>
      <c r="E25" s="443">
        <v>3000</v>
      </c>
      <c r="F25" s="438">
        <v>8555</v>
      </c>
      <c r="G25" s="417">
        <v>500</v>
      </c>
      <c r="H25" s="415">
        <v>5555</v>
      </c>
      <c r="I25" s="443">
        <v>2500</v>
      </c>
      <c r="J25" s="438">
        <f t="shared" si="0"/>
        <v>8611</v>
      </c>
      <c r="K25" s="415">
        <v>500</v>
      </c>
      <c r="L25" s="415">
        <f>Budget_CfgOA_2023!S22</f>
        <v>5611</v>
      </c>
      <c r="M25" s="443">
        <f>Budget_VROA_2023!B22</f>
        <v>2500</v>
      </c>
      <c r="N25" s="438">
        <f t="shared" si="1"/>
        <v>11071</v>
      </c>
      <c r="O25" s="415">
        <v>500</v>
      </c>
      <c r="P25" s="415">
        <f>Budget_CfgOA_2024!D14</f>
        <v>8571</v>
      </c>
      <c r="Q25" s="443">
        <f>Budget_VROA_2024!B22</f>
        <v>2000</v>
      </c>
      <c r="R25" s="438">
        <f t="shared" si="4"/>
        <v>10571</v>
      </c>
      <c r="S25" s="415">
        <v>0</v>
      </c>
      <c r="T25" s="415">
        <v>8571</v>
      </c>
      <c r="U25" s="443">
        <v>2000</v>
      </c>
      <c r="V25" s="438">
        <f t="shared" si="5"/>
        <v>8000</v>
      </c>
      <c r="W25" s="415">
        <v>0</v>
      </c>
      <c r="X25" s="415">
        <v>6000</v>
      </c>
      <c r="Y25" s="443">
        <v>2000</v>
      </c>
    </row>
    <row r="26" spans="1:26" ht="12.75" customHeight="1" x14ac:dyDescent="0.25">
      <c r="A26" s="414" t="s">
        <v>79</v>
      </c>
      <c r="B26" s="438">
        <v>15000</v>
      </c>
      <c r="C26" s="415">
        <v>1000</v>
      </c>
      <c r="D26" s="415">
        <v>14000</v>
      </c>
      <c r="E26" s="444">
        <v>0</v>
      </c>
      <c r="F26" s="438">
        <v>15140</v>
      </c>
      <c r="G26" s="415">
        <v>1000</v>
      </c>
      <c r="H26" s="415">
        <v>14140</v>
      </c>
      <c r="I26" s="444">
        <v>0</v>
      </c>
      <c r="J26" s="438">
        <f t="shared" si="0"/>
        <v>15847</v>
      </c>
      <c r="K26" s="415">
        <v>1000</v>
      </c>
      <c r="L26" s="415">
        <f>Budget_CfgOA_2023!S24</f>
        <v>14847</v>
      </c>
      <c r="M26" s="443">
        <v>0</v>
      </c>
      <c r="N26" s="438">
        <f t="shared" si="1"/>
        <v>15847</v>
      </c>
      <c r="O26" s="415">
        <v>1000</v>
      </c>
      <c r="P26" s="415">
        <f>Budget_CfgOA_2024!D16</f>
        <v>14847</v>
      </c>
      <c r="Q26" s="443">
        <v>0</v>
      </c>
      <c r="R26" s="438">
        <f t="shared" si="4"/>
        <v>10000</v>
      </c>
      <c r="S26" s="415">
        <v>0</v>
      </c>
      <c r="T26" s="415">
        <v>10000</v>
      </c>
      <c r="U26" s="443">
        <v>0</v>
      </c>
      <c r="V26" s="438">
        <f t="shared" si="5"/>
        <v>13606</v>
      </c>
      <c r="W26" s="415">
        <v>0</v>
      </c>
      <c r="X26" s="415">
        <v>13606</v>
      </c>
      <c r="Y26" s="443">
        <v>0</v>
      </c>
    </row>
    <row r="27" spans="1:26" ht="12.75" customHeight="1" x14ac:dyDescent="0.25">
      <c r="A27" s="414" t="s">
        <v>80</v>
      </c>
      <c r="B27" s="438">
        <v>24300</v>
      </c>
      <c r="C27" s="415">
        <v>1300</v>
      </c>
      <c r="D27" s="415">
        <v>10000</v>
      </c>
      <c r="E27" s="443">
        <v>13000</v>
      </c>
      <c r="F27" s="438">
        <v>24400</v>
      </c>
      <c r="G27" s="415">
        <v>1300</v>
      </c>
      <c r="H27" s="415">
        <v>10100</v>
      </c>
      <c r="I27" s="443">
        <v>13000</v>
      </c>
      <c r="J27" s="438">
        <f t="shared" si="0"/>
        <v>21800</v>
      </c>
      <c r="K27" s="415">
        <v>1300</v>
      </c>
      <c r="L27" s="415">
        <f>Budget_CfgOA_2023!S29</f>
        <v>10200</v>
      </c>
      <c r="M27" s="443">
        <f>Budget_VROA_2023!B23</f>
        <v>10300</v>
      </c>
      <c r="N27" s="438">
        <f t="shared" si="1"/>
        <v>31373.360000000001</v>
      </c>
      <c r="O27" s="415">
        <v>1300</v>
      </c>
      <c r="P27" s="415">
        <f>Budget_CfgOA_2024!D21</f>
        <v>13298</v>
      </c>
      <c r="Q27" s="443">
        <f>Budget_VROA_2024!B23</f>
        <v>16775.36</v>
      </c>
      <c r="R27" s="438">
        <f t="shared" si="4"/>
        <v>31575</v>
      </c>
      <c r="S27" s="415">
        <v>0</v>
      </c>
      <c r="T27" s="415">
        <v>13869</v>
      </c>
      <c r="U27" s="443">
        <v>17706</v>
      </c>
      <c r="V27" s="438">
        <f t="shared" si="5"/>
        <v>24860</v>
      </c>
      <c r="W27" s="415">
        <v>0</v>
      </c>
      <c r="X27" s="415">
        <v>12260</v>
      </c>
      <c r="Y27" s="443">
        <v>12600</v>
      </c>
    </row>
    <row r="28" spans="1:26" ht="12.75" customHeight="1" x14ac:dyDescent="0.25">
      <c r="A28" s="414" t="s">
        <v>82</v>
      </c>
      <c r="B28" s="440">
        <v>0</v>
      </c>
      <c r="C28" s="417">
        <v>0</v>
      </c>
      <c r="D28" s="417">
        <v>0</v>
      </c>
      <c r="E28" s="444">
        <v>0</v>
      </c>
      <c r="F28" s="440">
        <v>0</v>
      </c>
      <c r="G28" s="417">
        <v>0</v>
      </c>
      <c r="H28" s="417">
        <v>0</v>
      </c>
      <c r="I28" s="444">
        <v>0</v>
      </c>
      <c r="J28" s="438">
        <f t="shared" si="0"/>
        <v>0</v>
      </c>
      <c r="K28" s="415">
        <v>0</v>
      </c>
      <c r="L28" s="415">
        <v>0</v>
      </c>
      <c r="M28" s="443">
        <v>0</v>
      </c>
      <c r="N28" s="438">
        <f t="shared" si="1"/>
        <v>0</v>
      </c>
      <c r="O28" s="415">
        <v>0</v>
      </c>
      <c r="P28" s="415">
        <v>0</v>
      </c>
      <c r="Q28" s="443">
        <f>0</f>
        <v>0</v>
      </c>
      <c r="R28" s="438">
        <f t="shared" si="4"/>
        <v>0</v>
      </c>
      <c r="S28" s="415">
        <v>0</v>
      </c>
      <c r="T28" s="415">
        <v>0</v>
      </c>
      <c r="U28" s="443">
        <v>0</v>
      </c>
      <c r="V28" s="438">
        <f t="shared" si="5"/>
        <v>0</v>
      </c>
      <c r="W28" s="415">
        <v>0</v>
      </c>
      <c r="X28" s="415">
        <v>0</v>
      </c>
      <c r="Y28" s="443">
        <v>0</v>
      </c>
    </row>
    <row r="29" spans="1:26" ht="12.75" customHeight="1" x14ac:dyDescent="0.25">
      <c r="A29" s="414" t="s">
        <v>83</v>
      </c>
      <c r="B29" s="438">
        <v>11900</v>
      </c>
      <c r="C29" s="417">
        <v>0</v>
      </c>
      <c r="D29" s="415">
        <v>2300</v>
      </c>
      <c r="E29" s="443">
        <v>9600</v>
      </c>
      <c r="F29" s="438">
        <v>9603</v>
      </c>
      <c r="G29" s="417">
        <v>0</v>
      </c>
      <c r="H29" s="415">
        <v>2403</v>
      </c>
      <c r="I29" s="443">
        <v>7200</v>
      </c>
      <c r="J29" s="438">
        <f t="shared" si="0"/>
        <v>12000</v>
      </c>
      <c r="K29" s="415">
        <v>0</v>
      </c>
      <c r="L29" s="415">
        <v>0</v>
      </c>
      <c r="M29" s="443">
        <f>Budget_VROA_2023!B24</f>
        <v>12000</v>
      </c>
      <c r="N29" s="438">
        <f t="shared" si="1"/>
        <v>9000</v>
      </c>
      <c r="O29" s="415">
        <v>0</v>
      </c>
      <c r="P29" s="415">
        <v>0</v>
      </c>
      <c r="Q29" s="443">
        <f>Budget_VROA_2024!B24</f>
        <v>9000</v>
      </c>
      <c r="R29" s="438">
        <f t="shared" si="4"/>
        <v>9000</v>
      </c>
      <c r="S29" s="415">
        <v>0</v>
      </c>
      <c r="T29" s="415">
        <v>0</v>
      </c>
      <c r="U29" s="443">
        <v>9000</v>
      </c>
      <c r="V29" s="438">
        <f t="shared" si="5"/>
        <v>3000</v>
      </c>
      <c r="W29" s="415">
        <v>0</v>
      </c>
      <c r="X29" s="415">
        <v>0</v>
      </c>
      <c r="Y29" s="443">
        <v>3000</v>
      </c>
    </row>
    <row r="30" spans="1:26" ht="12.75" customHeight="1" x14ac:dyDescent="0.25">
      <c r="A30" s="414" t="s">
        <v>84</v>
      </c>
      <c r="B30" s="440">
        <v>500</v>
      </c>
      <c r="C30" s="417">
        <v>500</v>
      </c>
      <c r="D30" s="417">
        <v>0</v>
      </c>
      <c r="E30" s="444">
        <v>0</v>
      </c>
      <c r="F30" s="440">
        <v>500</v>
      </c>
      <c r="G30" s="417">
        <v>500</v>
      </c>
      <c r="H30" s="417">
        <v>0</v>
      </c>
      <c r="I30" s="444">
        <v>0</v>
      </c>
      <c r="J30" s="438">
        <f t="shared" si="0"/>
        <v>60000</v>
      </c>
      <c r="K30" s="415">
        <v>60000</v>
      </c>
      <c r="L30" s="415">
        <f>Budget_CfgOA_2023!S31</f>
        <v>0</v>
      </c>
      <c r="M30" s="443">
        <v>0</v>
      </c>
      <c r="N30" s="438">
        <f t="shared" si="1"/>
        <v>0</v>
      </c>
      <c r="O30" s="415">
        <v>0</v>
      </c>
      <c r="P30" s="415">
        <v>0</v>
      </c>
      <c r="Q30" s="443">
        <v>0</v>
      </c>
      <c r="R30" s="438">
        <f t="shared" si="4"/>
        <v>0</v>
      </c>
      <c r="S30" s="415">
        <v>0</v>
      </c>
      <c r="T30" s="415">
        <v>0</v>
      </c>
      <c r="U30" s="443">
        <v>0</v>
      </c>
      <c r="V30" s="438">
        <f t="shared" si="5"/>
        <v>50000</v>
      </c>
      <c r="W30" s="415">
        <v>50000</v>
      </c>
      <c r="X30" s="415">
        <v>0</v>
      </c>
      <c r="Y30" s="443">
        <v>0</v>
      </c>
    </row>
    <row r="31" spans="1:26" ht="12.75" customHeight="1" x14ac:dyDescent="0.25">
      <c r="A31" s="411" t="s">
        <v>86</v>
      </c>
      <c r="B31" s="436">
        <v>323615</v>
      </c>
      <c r="C31" s="412">
        <v>29500</v>
      </c>
      <c r="D31" s="412">
        <v>88500</v>
      </c>
      <c r="E31" s="442">
        <v>205615</v>
      </c>
      <c r="F31" s="436">
        <v>315934</v>
      </c>
      <c r="G31" s="412">
        <v>30600</v>
      </c>
      <c r="H31" s="412">
        <v>58580</v>
      </c>
      <c r="I31" s="442">
        <v>226754</v>
      </c>
      <c r="J31" s="436">
        <f t="shared" si="0"/>
        <v>305370.85352</v>
      </c>
      <c r="K31" s="412">
        <f>SUM(K32:K40)</f>
        <v>20600</v>
      </c>
      <c r="L31" s="412">
        <f>SUM(L32:L40)</f>
        <v>59181</v>
      </c>
      <c r="M31" s="442">
        <f>SUM(M32:M40)</f>
        <v>225589.85352</v>
      </c>
      <c r="N31" s="436">
        <f t="shared" si="1"/>
        <v>295026.97528959997</v>
      </c>
      <c r="O31" s="412">
        <f>SUM(O32:O40)</f>
        <v>14600</v>
      </c>
      <c r="P31" s="412">
        <f>SUM(P32:P40)</f>
        <v>40352</v>
      </c>
      <c r="Q31" s="442">
        <f>SUM(Q32:Q40)</f>
        <v>240074.9752896</v>
      </c>
      <c r="R31" s="436">
        <f t="shared" ref="R31:R40" si="6">SUM(S31:U31)</f>
        <v>303765</v>
      </c>
      <c r="S31" s="412">
        <f>SUM(S32:S40)</f>
        <v>14892</v>
      </c>
      <c r="T31" s="412">
        <f>SUM(T32:T40)</f>
        <v>62573</v>
      </c>
      <c r="U31" s="442">
        <f>SUM(U32:U40)</f>
        <v>226300</v>
      </c>
      <c r="V31" s="436">
        <f t="shared" ref="V31:V40" si="7">SUM(W31:Y31)</f>
        <v>287964</v>
      </c>
      <c r="W31" s="412">
        <f>SUM(W32:W40)</f>
        <v>15300</v>
      </c>
      <c r="X31" s="412">
        <f>SUM(X32:X40)</f>
        <v>96400</v>
      </c>
      <c r="Y31" s="442">
        <f>SUM(Y32:Y40)</f>
        <v>176264</v>
      </c>
    </row>
    <row r="32" spans="1:26" ht="12.75" customHeight="1" x14ac:dyDescent="0.25">
      <c r="A32" s="414" t="s">
        <v>87</v>
      </c>
      <c r="B32" s="438">
        <v>7500</v>
      </c>
      <c r="C32" s="415">
        <v>2500</v>
      </c>
      <c r="D32" s="415">
        <v>5000</v>
      </c>
      <c r="E32" s="444">
        <v>0</v>
      </c>
      <c r="F32" s="438">
        <v>7550</v>
      </c>
      <c r="G32" s="415">
        <v>2500</v>
      </c>
      <c r="H32" s="415">
        <v>5050</v>
      </c>
      <c r="I32" s="444">
        <v>0</v>
      </c>
      <c r="J32" s="438">
        <f t="shared" si="0"/>
        <v>19000</v>
      </c>
      <c r="K32" s="415">
        <v>2500</v>
      </c>
      <c r="L32" s="415">
        <f>Budget_CfgOA_2023!S34</f>
        <v>4000</v>
      </c>
      <c r="M32" s="443">
        <f>Budget_VROA_2023!B26</f>
        <v>12500</v>
      </c>
      <c r="N32" s="438">
        <f t="shared" si="1"/>
        <v>13000</v>
      </c>
      <c r="O32" s="415">
        <v>0</v>
      </c>
      <c r="P32" s="415">
        <f>Budget_CfgOA_2024!D24</f>
        <v>3000</v>
      </c>
      <c r="Q32" s="443">
        <f>Budget_VROA_2024!B26</f>
        <v>10000</v>
      </c>
      <c r="R32" s="438">
        <f t="shared" si="6"/>
        <v>12000</v>
      </c>
      <c r="S32" s="415">
        <v>0</v>
      </c>
      <c r="T32" s="415">
        <v>2000</v>
      </c>
      <c r="U32" s="443">
        <v>10000</v>
      </c>
      <c r="V32" s="438">
        <f t="shared" si="7"/>
        <v>12000</v>
      </c>
      <c r="W32" s="415">
        <v>0</v>
      </c>
      <c r="X32" s="415">
        <v>2000</v>
      </c>
      <c r="Y32" s="443">
        <v>10000</v>
      </c>
    </row>
    <row r="33" spans="1:36" ht="12.75" customHeight="1" x14ac:dyDescent="0.25">
      <c r="A33" s="414" t="s">
        <v>88</v>
      </c>
      <c r="B33" s="438">
        <v>37500</v>
      </c>
      <c r="C33" s="415">
        <v>25000</v>
      </c>
      <c r="D33" s="417">
        <v>0</v>
      </c>
      <c r="E33" s="443">
        <v>12500</v>
      </c>
      <c r="F33" s="438">
        <v>37500</v>
      </c>
      <c r="G33" s="415">
        <v>25000</v>
      </c>
      <c r="H33" s="417">
        <v>0</v>
      </c>
      <c r="I33" s="443">
        <v>12500</v>
      </c>
      <c r="J33" s="438">
        <f t="shared" si="0"/>
        <v>15000</v>
      </c>
      <c r="K33" s="415">
        <v>15000</v>
      </c>
      <c r="L33" s="415">
        <v>0</v>
      </c>
      <c r="M33" s="443">
        <v>0</v>
      </c>
      <c r="N33" s="438">
        <f t="shared" si="1"/>
        <v>0</v>
      </c>
      <c r="O33" s="415">
        <v>0</v>
      </c>
      <c r="P33" s="415">
        <v>0</v>
      </c>
      <c r="Q33" s="443">
        <v>0</v>
      </c>
      <c r="R33" s="438">
        <f t="shared" si="6"/>
        <v>0</v>
      </c>
      <c r="S33" s="415">
        <v>0</v>
      </c>
      <c r="T33" s="415">
        <v>0</v>
      </c>
      <c r="U33" s="443">
        <v>0</v>
      </c>
      <c r="V33" s="438">
        <f t="shared" si="7"/>
        <v>0</v>
      </c>
      <c r="W33" s="415">
        <v>0</v>
      </c>
      <c r="X33" s="415">
        <v>0</v>
      </c>
      <c r="Y33" s="443">
        <v>0</v>
      </c>
    </row>
    <row r="34" spans="1:36" ht="12.75" customHeight="1" x14ac:dyDescent="0.25">
      <c r="A34" s="414" t="s">
        <v>89</v>
      </c>
      <c r="B34" s="438">
        <v>72965</v>
      </c>
      <c r="C34" s="415">
        <v>2000</v>
      </c>
      <c r="D34" s="415">
        <v>3500</v>
      </c>
      <c r="E34" s="443">
        <v>67465</v>
      </c>
      <c r="F34" s="438">
        <v>89930</v>
      </c>
      <c r="G34" s="415">
        <v>3100</v>
      </c>
      <c r="H34" s="415">
        <v>3535</v>
      </c>
      <c r="I34" s="443">
        <v>83295</v>
      </c>
      <c r="J34" s="438">
        <f t="shared" si="0"/>
        <v>88359.853520000004</v>
      </c>
      <c r="K34" s="415">
        <v>3100</v>
      </c>
      <c r="L34" s="415">
        <f>Budget_CfgOA_2023!S35</f>
        <v>3570</v>
      </c>
      <c r="M34" s="443">
        <f>Budget_VROA_2023!B27</f>
        <v>81689.853520000004</v>
      </c>
      <c r="N34" s="438">
        <f t="shared" si="1"/>
        <v>112725.9752896</v>
      </c>
      <c r="O34" s="415">
        <f>CEILING('Detail 2024-NROA-bron'!D38,100)</f>
        <v>14600</v>
      </c>
      <c r="P34" s="415">
        <f>Budget_CfgOA_2024!D25</f>
        <v>1500</v>
      </c>
      <c r="Q34" s="443">
        <f>Budget_VROA_2024!B27</f>
        <v>96625.975289599999</v>
      </c>
      <c r="R34" s="438">
        <f t="shared" si="6"/>
        <v>129012</v>
      </c>
      <c r="S34" s="415">
        <f>+ROUND(O34*1.02,0)</f>
        <v>14892</v>
      </c>
      <c r="T34" s="415">
        <v>1500</v>
      </c>
      <c r="U34" s="443">
        <v>112620</v>
      </c>
      <c r="V34" s="438">
        <f t="shared" si="7"/>
        <v>101394</v>
      </c>
      <c r="W34" s="415">
        <f>+ROUND(S34*1.02/100+1,0)*100</f>
        <v>15300</v>
      </c>
      <c r="X34" s="415">
        <v>1500</v>
      </c>
      <c r="Y34" s="443">
        <v>84594</v>
      </c>
      <c r="Z34" s="420"/>
    </row>
    <row r="35" spans="1:36" ht="12.75" customHeight="1" x14ac:dyDescent="0.25">
      <c r="A35" s="414" t="s">
        <v>90</v>
      </c>
      <c r="B35" s="438">
        <v>151150</v>
      </c>
      <c r="C35" s="417">
        <v>0</v>
      </c>
      <c r="D35" s="415">
        <v>25500</v>
      </c>
      <c r="E35" s="444">
        <v>125650</v>
      </c>
      <c r="F35" s="438">
        <v>172874</v>
      </c>
      <c r="G35" s="417">
        <v>0</v>
      </c>
      <c r="H35" s="415">
        <v>41915</v>
      </c>
      <c r="I35" s="444">
        <v>130959</v>
      </c>
      <c r="J35" s="438">
        <f t="shared" si="0"/>
        <v>147400</v>
      </c>
      <c r="K35" s="415">
        <v>0</v>
      </c>
      <c r="L35" s="415">
        <f>Budget_CfgOA_2023!S33</f>
        <v>46000</v>
      </c>
      <c r="M35" s="443">
        <f>Budget_VROA_2023!B28</f>
        <v>101400</v>
      </c>
      <c r="N35" s="438">
        <f t="shared" si="1"/>
        <v>119449</v>
      </c>
      <c r="O35" s="415">
        <v>0</v>
      </c>
      <c r="P35" s="415">
        <f>Budget_CfgOA_2024!D23</f>
        <v>30000</v>
      </c>
      <c r="Q35" s="443">
        <f>Budget_VROA_2024!B28</f>
        <v>89449</v>
      </c>
      <c r="R35" s="438">
        <f t="shared" si="6"/>
        <v>137753</v>
      </c>
      <c r="S35" s="415">
        <v>0</v>
      </c>
      <c r="T35" s="415">
        <v>59073</v>
      </c>
      <c r="U35" s="443">
        <v>78680</v>
      </c>
      <c r="V35" s="438">
        <f t="shared" si="7"/>
        <v>141670</v>
      </c>
      <c r="W35" s="415">
        <v>0</v>
      </c>
      <c r="X35" s="415">
        <v>80000</v>
      </c>
      <c r="Y35" s="443">
        <v>61670</v>
      </c>
    </row>
    <row r="36" spans="1:36" ht="12.75" customHeight="1" x14ac:dyDescent="0.25">
      <c r="A36" s="414" t="s">
        <v>290</v>
      </c>
      <c r="B36" s="438">
        <v>12000</v>
      </c>
      <c r="C36" s="417">
        <v>0</v>
      </c>
      <c r="D36" s="415">
        <v>12000</v>
      </c>
      <c r="E36" s="444">
        <v>0</v>
      </c>
      <c r="F36" s="438">
        <v>5555</v>
      </c>
      <c r="G36" s="417">
        <v>0</v>
      </c>
      <c r="H36" s="415">
        <v>5555</v>
      </c>
      <c r="I36" s="444">
        <v>0</v>
      </c>
      <c r="J36" s="438">
        <f t="shared" si="0"/>
        <v>5611</v>
      </c>
      <c r="K36" s="415">
        <v>0</v>
      </c>
      <c r="L36" s="415">
        <f>Budget_CfgOA_2023!S36</f>
        <v>5611</v>
      </c>
      <c r="M36" s="443">
        <v>0</v>
      </c>
      <c r="N36" s="438">
        <f t="shared" si="1"/>
        <v>5852</v>
      </c>
      <c r="O36" s="415">
        <v>0</v>
      </c>
      <c r="P36" s="415">
        <f>Budget_CfgOA_2024!D26</f>
        <v>5852</v>
      </c>
      <c r="Q36" s="443">
        <v>0</v>
      </c>
      <c r="R36" s="438">
        <f t="shared" si="6"/>
        <v>0</v>
      </c>
      <c r="S36" s="415">
        <v>0</v>
      </c>
      <c r="T36" s="415">
        <v>0</v>
      </c>
      <c r="U36" s="443">
        <v>0</v>
      </c>
      <c r="V36" s="438">
        <f t="shared" si="7"/>
        <v>12900</v>
      </c>
      <c r="W36" s="415">
        <v>0</v>
      </c>
      <c r="X36" s="415">
        <v>12900</v>
      </c>
      <c r="Y36" s="443">
        <v>0</v>
      </c>
    </row>
    <row r="37" spans="1:36" ht="12.75" customHeight="1" x14ac:dyDescent="0.25">
      <c r="A37" s="414" t="s">
        <v>92</v>
      </c>
      <c r="B37" s="438">
        <v>2500</v>
      </c>
      <c r="C37" s="417">
        <v>0</v>
      </c>
      <c r="D37" s="415">
        <v>2500</v>
      </c>
      <c r="E37" s="444">
        <v>0</v>
      </c>
      <c r="F37" s="438">
        <v>2525</v>
      </c>
      <c r="G37" s="417">
        <v>0</v>
      </c>
      <c r="H37" s="415">
        <v>2525</v>
      </c>
      <c r="I37" s="444">
        <v>0</v>
      </c>
      <c r="J37" s="438">
        <f t="shared" si="0"/>
        <v>0</v>
      </c>
      <c r="K37" s="415">
        <v>0</v>
      </c>
      <c r="L37" s="415">
        <v>0</v>
      </c>
      <c r="M37" s="443">
        <v>0</v>
      </c>
      <c r="N37" s="438">
        <f t="shared" si="1"/>
        <v>0</v>
      </c>
      <c r="O37" s="415">
        <v>0</v>
      </c>
      <c r="P37" s="415">
        <v>0</v>
      </c>
      <c r="Q37" s="443">
        <v>0</v>
      </c>
      <c r="R37" s="438">
        <f t="shared" si="6"/>
        <v>0</v>
      </c>
      <c r="S37" s="415">
        <v>0</v>
      </c>
      <c r="T37" s="415">
        <v>0</v>
      </c>
      <c r="U37" s="443">
        <v>0</v>
      </c>
      <c r="V37" s="438">
        <f t="shared" si="7"/>
        <v>0</v>
      </c>
      <c r="W37" s="415">
        <v>0</v>
      </c>
      <c r="X37" s="415">
        <v>0</v>
      </c>
      <c r="Y37" s="443">
        <v>0</v>
      </c>
    </row>
    <row r="38" spans="1:36" ht="12.75" customHeight="1" x14ac:dyDescent="0.25">
      <c r="A38" s="414" t="s">
        <v>93</v>
      </c>
      <c r="B38" s="440">
        <v>0</v>
      </c>
      <c r="C38" s="417">
        <v>0</v>
      </c>
      <c r="D38" s="417">
        <v>0</v>
      </c>
      <c r="E38" s="444">
        <v>0</v>
      </c>
      <c r="F38" s="440">
        <v>0</v>
      </c>
      <c r="G38" s="417">
        <v>0</v>
      </c>
      <c r="H38" s="417">
        <v>0</v>
      </c>
      <c r="I38" s="444">
        <v>0</v>
      </c>
      <c r="J38" s="438">
        <f t="shared" si="0"/>
        <v>30000</v>
      </c>
      <c r="K38" s="415">
        <v>0</v>
      </c>
      <c r="L38" s="415">
        <v>0</v>
      </c>
      <c r="M38" s="443">
        <f>Budget_VROA_2023!B30</f>
        <v>30000</v>
      </c>
      <c r="N38" s="438">
        <f t="shared" si="1"/>
        <v>44000</v>
      </c>
      <c r="O38" s="415">
        <v>0</v>
      </c>
      <c r="P38" s="415">
        <v>0</v>
      </c>
      <c r="Q38" s="443">
        <f>Budget_VROA_2024!B30</f>
        <v>44000</v>
      </c>
      <c r="R38" s="438">
        <f t="shared" si="6"/>
        <v>25000</v>
      </c>
      <c r="S38" s="415">
        <v>0</v>
      </c>
      <c r="T38" s="415">
        <v>0</v>
      </c>
      <c r="U38" s="443">
        <v>25000</v>
      </c>
      <c r="V38" s="438">
        <f t="shared" si="7"/>
        <v>20000</v>
      </c>
      <c r="W38" s="415">
        <v>0</v>
      </c>
      <c r="X38" s="415">
        <v>0</v>
      </c>
      <c r="Y38" s="443">
        <v>20000</v>
      </c>
    </row>
    <row r="39" spans="1:36" ht="12.75" customHeight="1" x14ac:dyDescent="0.25">
      <c r="A39" s="414" t="s">
        <v>95</v>
      </c>
      <c r="B39" s="440">
        <v>0</v>
      </c>
      <c r="C39" s="417">
        <v>0</v>
      </c>
      <c r="D39" s="417">
        <v>0</v>
      </c>
      <c r="E39" s="444">
        <v>0</v>
      </c>
      <c r="F39" s="440">
        <v>0</v>
      </c>
      <c r="G39" s="417">
        <v>0</v>
      </c>
      <c r="H39" s="417">
        <v>0</v>
      </c>
      <c r="I39" s="444">
        <v>0</v>
      </c>
      <c r="J39" s="438">
        <f t="shared" si="0"/>
        <v>0</v>
      </c>
      <c r="K39" s="415">
        <v>0</v>
      </c>
      <c r="L39" s="415">
        <v>0</v>
      </c>
      <c r="M39" s="443">
        <v>0</v>
      </c>
      <c r="N39" s="438">
        <f t="shared" si="1"/>
        <v>0</v>
      </c>
      <c r="O39" s="415">
        <v>0</v>
      </c>
      <c r="P39" s="415">
        <v>0</v>
      </c>
      <c r="Q39" s="443">
        <v>0</v>
      </c>
      <c r="R39" s="438">
        <f t="shared" si="6"/>
        <v>0</v>
      </c>
      <c r="S39" s="415">
        <v>0</v>
      </c>
      <c r="T39" s="415">
        <v>0</v>
      </c>
      <c r="U39" s="443">
        <v>0</v>
      </c>
      <c r="V39" s="438">
        <f t="shared" si="7"/>
        <v>0</v>
      </c>
      <c r="W39" s="415">
        <v>0</v>
      </c>
      <c r="X39" s="415">
        <v>0</v>
      </c>
      <c r="Y39" s="443">
        <v>0</v>
      </c>
    </row>
    <row r="40" spans="1:36" ht="12.75" customHeight="1" x14ac:dyDescent="0.25">
      <c r="A40" s="414" t="s">
        <v>1049</v>
      </c>
      <c r="B40" s="438">
        <v>40000</v>
      </c>
      <c r="C40" s="417">
        <v>0</v>
      </c>
      <c r="D40" s="415">
        <v>40000</v>
      </c>
      <c r="E40" s="444">
        <v>0</v>
      </c>
      <c r="F40" s="440">
        <v>0</v>
      </c>
      <c r="G40" s="417">
        <v>0</v>
      </c>
      <c r="H40" s="417">
        <v>0</v>
      </c>
      <c r="I40" s="444">
        <v>0</v>
      </c>
      <c r="J40" s="438">
        <f t="shared" si="0"/>
        <v>0</v>
      </c>
      <c r="K40" s="415">
        <v>0</v>
      </c>
      <c r="L40" s="415">
        <v>0</v>
      </c>
      <c r="M40" s="443">
        <v>0</v>
      </c>
      <c r="N40" s="438">
        <f t="shared" si="1"/>
        <v>0</v>
      </c>
      <c r="O40" s="415">
        <v>0</v>
      </c>
      <c r="P40" s="415">
        <v>0</v>
      </c>
      <c r="Q40" s="443">
        <v>0</v>
      </c>
      <c r="R40" s="438">
        <f t="shared" si="6"/>
        <v>0</v>
      </c>
      <c r="S40" s="415">
        <v>0</v>
      </c>
      <c r="T40" s="415">
        <v>0</v>
      </c>
      <c r="U40" s="443">
        <v>0</v>
      </c>
      <c r="V40" s="438">
        <f t="shared" si="7"/>
        <v>0</v>
      </c>
      <c r="W40" s="415">
        <v>0</v>
      </c>
      <c r="X40" s="415">
        <v>0</v>
      </c>
      <c r="Y40" s="443">
        <v>0</v>
      </c>
    </row>
    <row r="41" spans="1:36" ht="12.75" customHeight="1" x14ac:dyDescent="0.25">
      <c r="A41" s="411" t="s">
        <v>96</v>
      </c>
      <c r="B41" s="436">
        <v>53700</v>
      </c>
      <c r="C41" s="412">
        <v>32200</v>
      </c>
      <c r="D41" s="412">
        <v>14100</v>
      </c>
      <c r="E41" s="442">
        <v>7400</v>
      </c>
      <c r="F41" s="436">
        <v>53843</v>
      </c>
      <c r="G41" s="412">
        <v>32320</v>
      </c>
      <c r="H41" s="412">
        <v>14523</v>
      </c>
      <c r="I41" s="442">
        <v>7000</v>
      </c>
      <c r="J41" s="436">
        <f t="shared" si="0"/>
        <v>52088.761500000001</v>
      </c>
      <c r="K41" s="412">
        <f>SUM(K42:K46)</f>
        <v>32320</v>
      </c>
      <c r="L41" s="412">
        <f>SUM(L42:L46)</f>
        <v>8594</v>
      </c>
      <c r="M41" s="442">
        <f>SUM(M42:M46)</f>
        <v>11174.761500000001</v>
      </c>
      <c r="N41" s="436">
        <f t="shared" si="1"/>
        <v>48346.94485</v>
      </c>
      <c r="O41" s="412">
        <f>SUM(O42:O46)</f>
        <v>31230</v>
      </c>
      <c r="P41" s="412">
        <f>SUM(P42:P46)</f>
        <v>7813</v>
      </c>
      <c r="Q41" s="442">
        <f>SUM(Q42:Q46)</f>
        <v>9303.9448499999999</v>
      </c>
      <c r="R41" s="436">
        <f t="shared" ref="R41:R46" si="8">SUM(S41:U41)</f>
        <v>51682</v>
      </c>
      <c r="S41" s="412">
        <f>SUM(S42:S46)</f>
        <v>34255</v>
      </c>
      <c r="T41" s="412">
        <f>SUM(T42:T46)</f>
        <v>7936</v>
      </c>
      <c r="U41" s="442">
        <f>SUM(U42:U46)</f>
        <v>9491</v>
      </c>
      <c r="V41" s="436">
        <f t="shared" ref="V41:V46" si="9">SUM(W41:Y41)</f>
        <v>55617</v>
      </c>
      <c r="W41" s="412">
        <f>SUM(W42:W46)</f>
        <v>33000</v>
      </c>
      <c r="X41" s="412">
        <f>SUM(X42:X46)</f>
        <v>9787</v>
      </c>
      <c r="Y41" s="442">
        <f>SUM(Y42:Y46)</f>
        <v>12830</v>
      </c>
    </row>
    <row r="42" spans="1:36" ht="12.75" customHeight="1" x14ac:dyDescent="0.25">
      <c r="A42" s="414" t="s">
        <v>98</v>
      </c>
      <c r="B42" s="438">
        <v>12450</v>
      </c>
      <c r="C42" s="417">
        <v>850</v>
      </c>
      <c r="D42" s="415">
        <v>5300</v>
      </c>
      <c r="E42" s="443">
        <v>6300</v>
      </c>
      <c r="F42" s="438">
        <v>12259</v>
      </c>
      <c r="G42" s="417">
        <v>900</v>
      </c>
      <c r="H42" s="415">
        <v>5459</v>
      </c>
      <c r="I42" s="443">
        <v>5900</v>
      </c>
      <c r="J42" s="438">
        <f t="shared" si="0"/>
        <v>12956.533599999999</v>
      </c>
      <c r="K42" s="415">
        <v>900</v>
      </c>
      <c r="L42" s="415">
        <f>Budget_CfgOA_2023!S39</f>
        <v>5623</v>
      </c>
      <c r="M42" s="443">
        <f>Budget_VROA_2023!B32</f>
        <v>6433.5335999999998</v>
      </c>
      <c r="N42" s="438">
        <f t="shared" si="1"/>
        <v>13393.3056</v>
      </c>
      <c r="O42" s="415">
        <f>CEILING('Detail 2024-NROA-bron'!D22,100)</f>
        <v>700</v>
      </c>
      <c r="P42" s="415">
        <f>Budget_CfgOA_2024!D28</f>
        <v>5500</v>
      </c>
      <c r="Q42" s="443">
        <f>Budget_VROA_2024!B32</f>
        <v>7193.3056000000006</v>
      </c>
      <c r="R42" s="438">
        <f t="shared" si="8"/>
        <v>13662</v>
      </c>
      <c r="S42" s="415">
        <f t="shared" ref="S42:S44" si="10">+ROUND(O42*1.02,0)</f>
        <v>714</v>
      </c>
      <c r="T42" s="415">
        <v>5610</v>
      </c>
      <c r="U42" s="443">
        <v>7338</v>
      </c>
      <c r="V42" s="438">
        <f t="shared" si="9"/>
        <v>16295</v>
      </c>
      <c r="W42" s="415">
        <v>0</v>
      </c>
      <c r="X42" s="415">
        <v>8110</v>
      </c>
      <c r="Y42" s="443">
        <v>8185</v>
      </c>
      <c r="Z42" s="420"/>
    </row>
    <row r="43" spans="1:36" ht="12.75" customHeight="1" x14ac:dyDescent="0.25">
      <c r="A43" s="414" t="s">
        <v>100</v>
      </c>
      <c r="B43" s="438">
        <v>1700</v>
      </c>
      <c r="C43" s="417">
        <v>600</v>
      </c>
      <c r="D43" s="417">
        <v>600</v>
      </c>
      <c r="E43" s="444">
        <v>500</v>
      </c>
      <c r="F43" s="438">
        <v>1848</v>
      </c>
      <c r="G43" s="417">
        <v>630</v>
      </c>
      <c r="H43" s="417">
        <v>618</v>
      </c>
      <c r="I43" s="444">
        <v>600</v>
      </c>
      <c r="J43" s="438">
        <f t="shared" si="0"/>
        <v>1722.7592</v>
      </c>
      <c r="K43" s="415">
        <v>630</v>
      </c>
      <c r="L43" s="415">
        <f>Budget_CfgOA_2023!S40</f>
        <v>637</v>
      </c>
      <c r="M43" s="443">
        <f>Budget_VROA_2023!B34</f>
        <v>455.75920000000002</v>
      </c>
      <c r="N43" s="438">
        <f t="shared" si="1"/>
        <v>1211.1064000000001</v>
      </c>
      <c r="O43" s="415">
        <f>CEILING('Detail 2024-NROA-bron'!D24,100)</f>
        <v>100</v>
      </c>
      <c r="P43" s="415">
        <f>Budget_CfgOA_2024!D29</f>
        <v>664</v>
      </c>
      <c r="Q43" s="443">
        <f>Budget_VROA_2024!B34</f>
        <v>447.10640000000006</v>
      </c>
      <c r="R43" s="438">
        <f t="shared" si="8"/>
        <v>1235</v>
      </c>
      <c r="S43" s="415">
        <f t="shared" si="10"/>
        <v>102</v>
      </c>
      <c r="T43" s="415">
        <v>677</v>
      </c>
      <c r="U43" s="443">
        <v>456</v>
      </c>
      <c r="V43" s="438">
        <f t="shared" si="9"/>
        <v>1554</v>
      </c>
      <c r="W43" s="415">
        <v>0</v>
      </c>
      <c r="X43" s="415">
        <v>704</v>
      </c>
      <c r="Y43" s="443">
        <v>850</v>
      </c>
      <c r="Z43" s="420"/>
    </row>
    <row r="44" spans="1:36" ht="12.75" customHeight="1" x14ac:dyDescent="0.25">
      <c r="A44" s="414" t="s">
        <v>101</v>
      </c>
      <c r="B44" s="438">
        <v>3550</v>
      </c>
      <c r="C44" s="417">
        <v>750</v>
      </c>
      <c r="D44" s="415">
        <v>2200</v>
      </c>
      <c r="E44" s="444">
        <v>600</v>
      </c>
      <c r="F44" s="438">
        <v>3556</v>
      </c>
      <c r="G44" s="417">
        <v>790</v>
      </c>
      <c r="H44" s="415">
        <v>2266</v>
      </c>
      <c r="I44" s="444">
        <v>500</v>
      </c>
      <c r="J44" s="438">
        <f t="shared" si="0"/>
        <v>7409.4686999999994</v>
      </c>
      <c r="K44" s="415">
        <v>790</v>
      </c>
      <c r="L44" s="415">
        <f>Budget_CfgOA_2023!S41+Budget_CfgOA_2023!S42</f>
        <v>2334</v>
      </c>
      <c r="M44" s="443">
        <f>Budget_VROA_2023!B33</f>
        <v>4285.4686999999994</v>
      </c>
      <c r="N44" s="438">
        <f t="shared" si="1"/>
        <v>3742.5328499999996</v>
      </c>
      <c r="O44" s="415">
        <f>CEILING('Detail 2024-NROA-bron'!D25*1.04,10)</f>
        <v>430</v>
      </c>
      <c r="P44" s="415">
        <f>Budget_CfgOA_2024!D30+Budget_CfgOA_2024!D31</f>
        <v>1649</v>
      </c>
      <c r="Q44" s="443">
        <f>Budget_VROA_2024!B33</f>
        <v>1663.5328499999998</v>
      </c>
      <c r="R44" s="438">
        <f t="shared" si="8"/>
        <v>3785</v>
      </c>
      <c r="S44" s="415">
        <f t="shared" si="10"/>
        <v>439</v>
      </c>
      <c r="T44" s="415">
        <v>1649</v>
      </c>
      <c r="U44" s="443">
        <v>1697</v>
      </c>
      <c r="V44" s="438">
        <f t="shared" si="9"/>
        <v>4768</v>
      </c>
      <c r="W44" s="415">
        <v>0</v>
      </c>
      <c r="X44" s="415">
        <v>973</v>
      </c>
      <c r="Y44" s="443">
        <f>1045+2750</f>
        <v>3795</v>
      </c>
      <c r="Z44" s="420"/>
    </row>
    <row r="45" spans="1:36" x14ac:dyDescent="0.25">
      <c r="A45" s="414" t="s">
        <v>1040</v>
      </c>
      <c r="B45" s="438">
        <v>30000</v>
      </c>
      <c r="C45" s="415">
        <v>30000</v>
      </c>
      <c r="D45" s="417">
        <v>0</v>
      </c>
      <c r="E45" s="444">
        <v>0</v>
      </c>
      <c r="F45" s="438">
        <v>30000</v>
      </c>
      <c r="G45" s="415">
        <v>30000</v>
      </c>
      <c r="H45" s="417">
        <v>0</v>
      </c>
      <c r="I45" s="445"/>
      <c r="J45" s="438">
        <f t="shared" si="0"/>
        <v>30000</v>
      </c>
      <c r="K45" s="415">
        <v>30000</v>
      </c>
      <c r="L45" s="415">
        <v>0</v>
      </c>
      <c r="M45" s="443">
        <v>0</v>
      </c>
      <c r="N45" s="438">
        <f t="shared" si="1"/>
        <v>30000</v>
      </c>
      <c r="O45" s="415">
        <f>CEILING('Detail 2024-NROA-bron'!D21,1000)</f>
        <v>30000</v>
      </c>
      <c r="P45" s="415">
        <v>0</v>
      </c>
      <c r="Q45" s="443">
        <v>0</v>
      </c>
      <c r="R45" s="438">
        <f t="shared" si="8"/>
        <v>33000</v>
      </c>
      <c r="S45" s="415">
        <v>33000</v>
      </c>
      <c r="T45" s="415">
        <v>0</v>
      </c>
      <c r="U45" s="443">
        <v>0</v>
      </c>
      <c r="V45" s="438">
        <f t="shared" si="9"/>
        <v>33000</v>
      </c>
      <c r="W45" s="415">
        <v>33000</v>
      </c>
      <c r="X45" s="415">
        <v>0</v>
      </c>
      <c r="Y45" s="443">
        <v>0</v>
      </c>
    </row>
    <row r="46" spans="1:36" ht="12.75" hidden="1" customHeight="1" x14ac:dyDescent="0.25">
      <c r="A46" s="414" t="s">
        <v>10</v>
      </c>
      <c r="B46" s="438">
        <v>6000</v>
      </c>
      <c r="C46" s="417">
        <v>0</v>
      </c>
      <c r="D46" s="415">
        <v>6000</v>
      </c>
      <c r="E46" s="444">
        <v>0</v>
      </c>
      <c r="F46" s="438">
        <v>6180</v>
      </c>
      <c r="G46" s="418"/>
      <c r="H46" s="415">
        <v>6180</v>
      </c>
      <c r="I46" s="445"/>
      <c r="J46" s="472">
        <f t="shared" si="0"/>
        <v>0</v>
      </c>
      <c r="K46" s="473">
        <v>0</v>
      </c>
      <c r="L46" s="415">
        <v>0</v>
      </c>
      <c r="M46" s="474">
        <v>0</v>
      </c>
      <c r="N46" s="438">
        <f t="shared" si="1"/>
        <v>0</v>
      </c>
      <c r="O46" s="415">
        <v>0</v>
      </c>
      <c r="P46" s="415">
        <v>0</v>
      </c>
      <c r="Q46" s="443">
        <v>0</v>
      </c>
      <c r="R46" s="472">
        <f t="shared" si="8"/>
        <v>0</v>
      </c>
      <c r="S46" s="415">
        <v>0</v>
      </c>
      <c r="T46" s="415">
        <v>0</v>
      </c>
      <c r="U46" s="443">
        <v>0</v>
      </c>
      <c r="V46" s="472">
        <f t="shared" si="9"/>
        <v>0</v>
      </c>
      <c r="W46" s="415">
        <v>0</v>
      </c>
      <c r="X46" s="415">
        <v>0</v>
      </c>
      <c r="Y46" s="443">
        <v>0</v>
      </c>
    </row>
    <row r="47" spans="1:36" x14ac:dyDescent="0.25">
      <c r="A47" s="411" t="s">
        <v>103</v>
      </c>
      <c r="B47" s="436">
        <v>1023400</v>
      </c>
      <c r="C47" s="412">
        <v>52400</v>
      </c>
      <c r="D47" s="412">
        <v>470000</v>
      </c>
      <c r="E47" s="442">
        <v>501000</v>
      </c>
      <c r="F47" s="436">
        <v>1024481</v>
      </c>
      <c r="G47" s="412">
        <v>52400</v>
      </c>
      <c r="H47" s="412">
        <v>493981</v>
      </c>
      <c r="I47" s="442">
        <v>478100</v>
      </c>
      <c r="J47" s="436">
        <f t="shared" si="0"/>
        <v>1183517</v>
      </c>
      <c r="K47" s="412">
        <f>SUM(K48:K71)</f>
        <v>66143</v>
      </c>
      <c r="L47" s="412">
        <f>SUM(L48:L71)</f>
        <v>564774</v>
      </c>
      <c r="M47" s="442">
        <f>SUM(M48:M71)</f>
        <v>552600</v>
      </c>
      <c r="N47" s="436">
        <f t="shared" si="1"/>
        <v>1363649.9381083334</v>
      </c>
      <c r="O47" s="412">
        <f>SUM(O48:O71)</f>
        <v>75900</v>
      </c>
      <c r="P47" s="412">
        <f>SUM(P48:P71)</f>
        <v>661906</v>
      </c>
      <c r="Q47" s="442">
        <f>SUM(Q48:Q71)</f>
        <v>625843.93810833327</v>
      </c>
      <c r="R47" s="436">
        <f t="shared" ref="R47:R62" si="11">SUM(S47:U47)</f>
        <v>1528599</v>
      </c>
      <c r="S47" s="412">
        <f>SUM(S48:S71)</f>
        <v>93350</v>
      </c>
      <c r="T47" s="412">
        <f>SUM(T48:T71)</f>
        <v>684871</v>
      </c>
      <c r="U47" s="442">
        <f>SUM(U48:U71)</f>
        <v>750378</v>
      </c>
      <c r="V47" s="436">
        <f t="shared" ref="V47:V62" si="12">SUM(W47:Y47)</f>
        <v>1419534</v>
      </c>
      <c r="W47" s="412">
        <f>SUM(W48:W71)</f>
        <v>91850</v>
      </c>
      <c r="X47" s="412">
        <f>SUM(X48:X71)</f>
        <v>591585</v>
      </c>
      <c r="Y47" s="442">
        <f>SUM(Y48:Y71)</f>
        <v>736099</v>
      </c>
    </row>
    <row r="48" spans="1:36" ht="12.75" customHeight="1" x14ac:dyDescent="0.25">
      <c r="A48" s="414" t="s">
        <v>104</v>
      </c>
      <c r="B48" s="438">
        <v>32000</v>
      </c>
      <c r="C48" s="415">
        <v>32000</v>
      </c>
      <c r="D48" s="417">
        <v>0</v>
      </c>
      <c r="E48" s="444">
        <v>0</v>
      </c>
      <c r="F48" s="438">
        <v>32000</v>
      </c>
      <c r="G48" s="415">
        <v>32000</v>
      </c>
      <c r="H48" s="417">
        <v>0</v>
      </c>
      <c r="I48" s="444">
        <v>0</v>
      </c>
      <c r="J48" s="438">
        <f t="shared" si="0"/>
        <v>45743</v>
      </c>
      <c r="K48" s="415">
        <f>ROUND((G48/31.48)*45,0)</f>
        <v>45743</v>
      </c>
      <c r="L48" s="415">
        <v>0</v>
      </c>
      <c r="M48" s="443">
        <v>0</v>
      </c>
      <c r="N48" s="438">
        <f t="shared" si="1"/>
        <v>60000</v>
      </c>
      <c r="O48" s="415">
        <f>CEILING('Detail 2024-NROA-bron'!B69,100)</f>
        <v>60000</v>
      </c>
      <c r="P48" s="415">
        <v>0</v>
      </c>
      <c r="Q48" s="443">
        <v>0</v>
      </c>
      <c r="R48" s="438">
        <f t="shared" si="11"/>
        <v>71500</v>
      </c>
      <c r="S48" s="415">
        <v>71500</v>
      </c>
      <c r="T48" s="415">
        <v>0</v>
      </c>
      <c r="U48" s="443">
        <v>0</v>
      </c>
      <c r="V48" s="438">
        <f t="shared" si="12"/>
        <v>73000</v>
      </c>
      <c r="W48" s="415">
        <f>+ROUND(S48*1.02/100+1,0)*100</f>
        <v>73000</v>
      </c>
      <c r="X48" s="415">
        <v>0</v>
      </c>
      <c r="Y48" s="443">
        <v>0</v>
      </c>
    </row>
    <row r="49" spans="1:26" ht="12.75" customHeight="1" x14ac:dyDescent="0.25">
      <c r="A49" s="414" t="s">
        <v>105</v>
      </c>
      <c r="B49" s="438">
        <v>230000</v>
      </c>
      <c r="C49" s="417">
        <v>0</v>
      </c>
      <c r="D49" s="417">
        <v>0</v>
      </c>
      <c r="E49" s="443">
        <v>230000</v>
      </c>
      <c r="F49" s="438">
        <v>239700</v>
      </c>
      <c r="G49" s="417">
        <v>0</v>
      </c>
      <c r="H49" s="417">
        <v>0</v>
      </c>
      <c r="I49" s="443">
        <v>239700</v>
      </c>
      <c r="J49" s="438">
        <f t="shared" si="0"/>
        <v>286000</v>
      </c>
      <c r="K49" s="415">
        <v>0</v>
      </c>
      <c r="L49" s="415">
        <v>0</v>
      </c>
      <c r="M49" s="443">
        <f>Budget_VROA_2023!B36</f>
        <v>286000</v>
      </c>
      <c r="N49" s="438">
        <f t="shared" si="1"/>
        <v>293216.09305799997</v>
      </c>
      <c r="O49" s="415">
        <v>0</v>
      </c>
      <c r="P49" s="415">
        <v>0</v>
      </c>
      <c r="Q49" s="443">
        <f>Budget_VROA_2024!B36</f>
        <v>293216.09305799997</v>
      </c>
      <c r="R49" s="438">
        <f t="shared" si="11"/>
        <v>402588</v>
      </c>
      <c r="S49" s="415">
        <v>0</v>
      </c>
      <c r="T49" s="415">
        <v>0</v>
      </c>
      <c r="U49" s="443">
        <v>402588</v>
      </c>
      <c r="V49" s="438">
        <f t="shared" si="12"/>
        <v>441544</v>
      </c>
      <c r="W49" s="415">
        <v>0</v>
      </c>
      <c r="X49" s="415">
        <v>0</v>
      </c>
      <c r="Y49" s="443">
        <v>441544</v>
      </c>
    </row>
    <row r="50" spans="1:26" ht="12.75" customHeight="1" x14ac:dyDescent="0.25">
      <c r="A50" s="414" t="s">
        <v>107</v>
      </c>
      <c r="B50" s="438">
        <v>192000</v>
      </c>
      <c r="C50" s="417">
        <v>0</v>
      </c>
      <c r="D50" s="415">
        <v>192000</v>
      </c>
      <c r="E50" s="444">
        <v>0</v>
      </c>
      <c r="F50" s="438">
        <v>211200</v>
      </c>
      <c r="G50" s="417">
        <v>0</v>
      </c>
      <c r="H50" s="415">
        <v>211200</v>
      </c>
      <c r="I50" s="444">
        <v>0</v>
      </c>
      <c r="J50" s="438">
        <f t="shared" si="0"/>
        <v>301906</v>
      </c>
      <c r="K50" s="415">
        <v>0</v>
      </c>
      <c r="L50" s="415">
        <f>Budget_CfgOA_2023!S46</f>
        <v>301906</v>
      </c>
      <c r="M50" s="443">
        <v>0</v>
      </c>
      <c r="N50" s="438">
        <f t="shared" si="1"/>
        <v>372000</v>
      </c>
      <c r="O50" s="415">
        <v>0</v>
      </c>
      <c r="P50" s="415">
        <f>Budget_CfgOA_2024!D35</f>
        <v>372000</v>
      </c>
      <c r="Q50" s="443">
        <v>0</v>
      </c>
      <c r="R50" s="438">
        <f t="shared" si="11"/>
        <v>391415</v>
      </c>
      <c r="S50" s="415">
        <v>0</v>
      </c>
      <c r="T50" s="415">
        <v>391415</v>
      </c>
      <c r="U50" s="443">
        <v>0</v>
      </c>
      <c r="V50" s="438">
        <f t="shared" si="12"/>
        <v>345000</v>
      </c>
      <c r="W50" s="415">
        <v>0</v>
      </c>
      <c r="X50" s="415">
        <v>345000</v>
      </c>
      <c r="Y50" s="443">
        <v>0</v>
      </c>
    </row>
    <row r="51" spans="1:26" ht="12.75" customHeight="1" x14ac:dyDescent="0.25">
      <c r="A51" s="414" t="s">
        <v>108</v>
      </c>
      <c r="B51" s="438">
        <v>100000</v>
      </c>
      <c r="C51" s="417">
        <v>0</v>
      </c>
      <c r="D51" s="417">
        <v>0</v>
      </c>
      <c r="E51" s="443">
        <v>100000</v>
      </c>
      <c r="F51" s="438">
        <v>87400</v>
      </c>
      <c r="G51" s="417">
        <v>0</v>
      </c>
      <c r="H51" s="417">
        <v>0</v>
      </c>
      <c r="I51" s="443">
        <v>87400</v>
      </c>
      <c r="J51" s="438">
        <f t="shared" si="0"/>
        <v>106000</v>
      </c>
      <c r="K51" s="415">
        <v>0</v>
      </c>
      <c r="L51" s="415">
        <v>0</v>
      </c>
      <c r="M51" s="443">
        <f>Budget_VROA_2023!B37</f>
        <v>106000</v>
      </c>
      <c r="N51" s="438">
        <f t="shared" si="1"/>
        <v>107336.49007200002</v>
      </c>
      <c r="O51" s="415">
        <v>0</v>
      </c>
      <c r="P51" s="415">
        <v>0</v>
      </c>
      <c r="Q51" s="443">
        <f>Budget_VROA_2024!B37</f>
        <v>107336.49007200002</v>
      </c>
      <c r="R51" s="438">
        <f t="shared" si="11"/>
        <v>165020</v>
      </c>
      <c r="S51" s="415">
        <v>0</v>
      </c>
      <c r="T51" s="415">
        <v>0</v>
      </c>
      <c r="U51" s="443">
        <v>165020</v>
      </c>
      <c r="V51" s="438">
        <f t="shared" si="12"/>
        <v>150321</v>
      </c>
      <c r="W51" s="415">
        <v>0</v>
      </c>
      <c r="X51" s="415">
        <v>0</v>
      </c>
      <c r="Y51" s="443">
        <v>150321</v>
      </c>
    </row>
    <row r="52" spans="1:26" ht="12.75" customHeight="1" x14ac:dyDescent="0.25">
      <c r="A52" s="414" t="s">
        <v>110</v>
      </c>
      <c r="B52" s="438">
        <v>80000</v>
      </c>
      <c r="C52" s="417">
        <v>0</v>
      </c>
      <c r="D52" s="415">
        <v>80000</v>
      </c>
      <c r="E52" s="444">
        <v>0</v>
      </c>
      <c r="F52" s="438">
        <v>88000</v>
      </c>
      <c r="G52" s="417">
        <v>0</v>
      </c>
      <c r="H52" s="415">
        <v>88000</v>
      </c>
      <c r="I52" s="445"/>
      <c r="J52" s="438">
        <f t="shared" si="0"/>
        <v>125794</v>
      </c>
      <c r="K52" s="415">
        <v>0</v>
      </c>
      <c r="L52" s="415">
        <f>Budget_CfgOA_2023!S44</f>
        <v>125794</v>
      </c>
      <c r="M52" s="443">
        <v>0</v>
      </c>
      <c r="N52" s="438">
        <f t="shared" si="1"/>
        <v>154000</v>
      </c>
      <c r="O52" s="415">
        <v>0</v>
      </c>
      <c r="P52" s="415">
        <f>Budget_CfgOA_2024!D33</f>
        <v>154000</v>
      </c>
      <c r="Q52" s="443">
        <v>0</v>
      </c>
      <c r="R52" s="438">
        <f t="shared" si="11"/>
        <v>143474</v>
      </c>
      <c r="S52" s="415">
        <v>0</v>
      </c>
      <c r="T52" s="415">
        <v>143474</v>
      </c>
      <c r="U52" s="443">
        <v>0</v>
      </c>
      <c r="V52" s="438">
        <f t="shared" si="12"/>
        <v>120000</v>
      </c>
      <c r="W52" s="415">
        <v>0</v>
      </c>
      <c r="X52" s="415">
        <v>120000</v>
      </c>
      <c r="Y52" s="443">
        <v>0</v>
      </c>
    </row>
    <row r="53" spans="1:26" ht="12.75" customHeight="1" x14ac:dyDescent="0.25">
      <c r="A53" s="414" t="s">
        <v>111</v>
      </c>
      <c r="B53" s="438">
        <v>23000</v>
      </c>
      <c r="C53" s="417">
        <v>0</v>
      </c>
      <c r="D53" s="417">
        <v>0</v>
      </c>
      <c r="E53" s="443">
        <v>23000</v>
      </c>
      <c r="F53" s="438">
        <v>20900</v>
      </c>
      <c r="G53" s="417">
        <v>0</v>
      </c>
      <c r="H53" s="417">
        <v>0</v>
      </c>
      <c r="I53" s="443">
        <v>20900</v>
      </c>
      <c r="J53" s="438">
        <f t="shared" si="0"/>
        <v>13000</v>
      </c>
      <c r="K53" s="415">
        <v>0</v>
      </c>
      <c r="L53" s="415">
        <v>0</v>
      </c>
      <c r="M53" s="443">
        <f>Budget_VROA_2023!B38</f>
        <v>13000</v>
      </c>
      <c r="N53" s="438">
        <f t="shared" si="1"/>
        <v>14721.680773333332</v>
      </c>
      <c r="O53" s="415">
        <v>0</v>
      </c>
      <c r="P53" s="415">
        <v>0</v>
      </c>
      <c r="Q53" s="443">
        <f>Budget_VROA_2024!B38</f>
        <v>14721.680773333332</v>
      </c>
      <c r="R53" s="438">
        <f t="shared" si="11"/>
        <v>20647</v>
      </c>
      <c r="S53" s="415">
        <v>0</v>
      </c>
      <c r="T53" s="415">
        <v>0</v>
      </c>
      <c r="U53" s="443">
        <v>20647</v>
      </c>
      <c r="V53" s="438">
        <f t="shared" si="12"/>
        <v>13470</v>
      </c>
      <c r="W53" s="415">
        <v>0</v>
      </c>
      <c r="X53" s="415">
        <v>0</v>
      </c>
      <c r="Y53" s="443">
        <v>13470</v>
      </c>
    </row>
    <row r="54" spans="1:26" ht="12.75" customHeight="1" x14ac:dyDescent="0.25">
      <c r="A54" s="414" t="s">
        <v>113</v>
      </c>
      <c r="B54" s="438">
        <v>7000</v>
      </c>
      <c r="C54" s="417">
        <v>0</v>
      </c>
      <c r="D54" s="415">
        <v>7000</v>
      </c>
      <c r="E54" s="444">
        <v>0</v>
      </c>
      <c r="F54" s="438">
        <v>7070</v>
      </c>
      <c r="G54" s="417">
        <v>0</v>
      </c>
      <c r="H54" s="415">
        <v>7070</v>
      </c>
      <c r="I54" s="444">
        <v>0</v>
      </c>
      <c r="J54" s="438">
        <f t="shared" si="0"/>
        <v>10106</v>
      </c>
      <c r="K54" s="415">
        <v>0</v>
      </c>
      <c r="L54" s="415">
        <f>Budget_CfgOA_2023!S45</f>
        <v>10106</v>
      </c>
      <c r="M54" s="443">
        <v>0</v>
      </c>
      <c r="N54" s="438">
        <f t="shared" si="1"/>
        <v>14761</v>
      </c>
      <c r="O54" s="415">
        <v>0</v>
      </c>
      <c r="P54" s="415">
        <f>Budget_CfgOA_2024!D34</f>
        <v>14761</v>
      </c>
      <c r="Q54" s="443">
        <v>0</v>
      </c>
      <c r="R54" s="438">
        <f t="shared" si="11"/>
        <v>8273</v>
      </c>
      <c r="S54" s="415">
        <v>0</v>
      </c>
      <c r="T54" s="415">
        <v>8273</v>
      </c>
      <c r="U54" s="443">
        <v>0</v>
      </c>
      <c r="V54" s="438">
        <f t="shared" si="12"/>
        <v>7308</v>
      </c>
      <c r="W54" s="415">
        <v>0</v>
      </c>
      <c r="X54" s="415">
        <v>7308</v>
      </c>
      <c r="Y54" s="443">
        <v>0</v>
      </c>
    </row>
    <row r="55" spans="1:26" ht="12.75" customHeight="1" x14ac:dyDescent="0.25">
      <c r="A55" s="414" t="s">
        <v>114</v>
      </c>
      <c r="B55" s="438">
        <v>8500</v>
      </c>
      <c r="C55" s="415">
        <v>8500</v>
      </c>
      <c r="D55" s="417">
        <v>0</v>
      </c>
      <c r="E55" s="444">
        <v>0</v>
      </c>
      <c r="F55" s="438">
        <v>8500</v>
      </c>
      <c r="G55" s="415">
        <v>8500</v>
      </c>
      <c r="H55" s="417">
        <v>0</v>
      </c>
      <c r="I55" s="444">
        <v>0</v>
      </c>
      <c r="J55" s="438">
        <f t="shared" si="0"/>
        <v>8500</v>
      </c>
      <c r="K55" s="415">
        <v>8500</v>
      </c>
      <c r="L55" s="415">
        <v>0</v>
      </c>
      <c r="M55" s="443">
        <v>0</v>
      </c>
      <c r="N55" s="438">
        <f t="shared" si="1"/>
        <v>3000</v>
      </c>
      <c r="O55" s="415">
        <f>CEILING(SUM('Detail 2024-NROA-bron'!D69:E69),100)</f>
        <v>3000</v>
      </c>
      <c r="P55" s="415">
        <v>0</v>
      </c>
      <c r="Q55" s="443">
        <v>0</v>
      </c>
      <c r="R55" s="438">
        <f t="shared" si="11"/>
        <v>1600</v>
      </c>
      <c r="S55" s="415">
        <v>1600</v>
      </c>
      <c r="T55" s="415">
        <v>0</v>
      </c>
      <c r="U55" s="443">
        <v>0</v>
      </c>
      <c r="V55" s="438">
        <f t="shared" si="12"/>
        <v>1700</v>
      </c>
      <c r="W55" s="415">
        <f>+ROUND(S55*1.02/100+1,0)*100</f>
        <v>1700</v>
      </c>
      <c r="X55" s="415">
        <v>0</v>
      </c>
      <c r="Y55" s="443">
        <v>0</v>
      </c>
      <c r="Z55" s="419"/>
    </row>
    <row r="56" spans="1:26" ht="12.75" customHeight="1" x14ac:dyDescent="0.25">
      <c r="A56" s="414" t="s">
        <v>115</v>
      </c>
      <c r="B56" s="438">
        <v>53000</v>
      </c>
      <c r="C56" s="417">
        <v>0</v>
      </c>
      <c r="D56" s="417">
        <v>0</v>
      </c>
      <c r="E56" s="443">
        <v>53000</v>
      </c>
      <c r="F56" s="438">
        <v>29700</v>
      </c>
      <c r="G56" s="417">
        <v>0</v>
      </c>
      <c r="H56" s="417">
        <v>0</v>
      </c>
      <c r="I56" s="443">
        <v>29700</v>
      </c>
      <c r="J56" s="438">
        <f t="shared" si="0"/>
        <v>43300</v>
      </c>
      <c r="K56" s="415">
        <v>0</v>
      </c>
      <c r="L56" s="415">
        <v>0</v>
      </c>
      <c r="M56" s="443">
        <f>Budget_VROA_2023!B39</f>
        <v>43300</v>
      </c>
      <c r="N56" s="438">
        <f t="shared" si="1"/>
        <v>79416.651488999996</v>
      </c>
      <c r="O56" s="415">
        <v>0</v>
      </c>
      <c r="P56" s="415">
        <v>0</v>
      </c>
      <c r="Q56" s="443">
        <f>Budget_VROA_2024!B39</f>
        <v>79416.651488999996</v>
      </c>
      <c r="R56" s="438">
        <f t="shared" si="11"/>
        <v>58627</v>
      </c>
      <c r="S56" s="415">
        <v>0</v>
      </c>
      <c r="T56" s="415">
        <v>0</v>
      </c>
      <c r="U56" s="443">
        <v>58627</v>
      </c>
      <c r="V56" s="438">
        <f t="shared" si="12"/>
        <v>28733</v>
      </c>
      <c r="W56" s="415">
        <v>0</v>
      </c>
      <c r="X56" s="415">
        <v>0</v>
      </c>
      <c r="Y56" s="443">
        <v>28733</v>
      </c>
    </row>
    <row r="57" spans="1:26" ht="12.75" customHeight="1" x14ac:dyDescent="0.25">
      <c r="A57" s="414" t="s">
        <v>117</v>
      </c>
      <c r="B57" s="438">
        <v>48000</v>
      </c>
      <c r="C57" s="417">
        <v>0</v>
      </c>
      <c r="D57" s="415">
        <v>48000</v>
      </c>
      <c r="E57" s="444">
        <v>0</v>
      </c>
      <c r="F57" s="438">
        <v>48480</v>
      </c>
      <c r="G57" s="417">
        <v>0</v>
      </c>
      <c r="H57" s="415">
        <v>48480</v>
      </c>
      <c r="I57" s="444">
        <v>0</v>
      </c>
      <c r="J57" s="438">
        <f t="shared" si="0"/>
        <v>42000</v>
      </c>
      <c r="K57" s="415">
        <v>0</v>
      </c>
      <c r="L57" s="415">
        <f>Budget_CfgOA_2023!S49</f>
        <v>42000</v>
      </c>
      <c r="M57" s="443">
        <v>0</v>
      </c>
      <c r="N57" s="438">
        <f t="shared" si="1"/>
        <v>28000</v>
      </c>
      <c r="O57" s="415">
        <v>0</v>
      </c>
      <c r="P57" s="415">
        <f>Budget_CfgOA_2024!D38</f>
        <v>28000</v>
      </c>
      <c r="Q57" s="443">
        <v>0</v>
      </c>
      <c r="R57" s="438">
        <f t="shared" si="11"/>
        <v>37637</v>
      </c>
      <c r="S57" s="415">
        <v>0</v>
      </c>
      <c r="T57" s="415">
        <v>37637</v>
      </c>
      <c r="U57" s="443">
        <v>0</v>
      </c>
      <c r="V57" s="438">
        <f t="shared" si="12"/>
        <v>27097</v>
      </c>
      <c r="W57" s="415">
        <v>0</v>
      </c>
      <c r="X57" s="415">
        <v>27097</v>
      </c>
      <c r="Y57" s="443">
        <v>0</v>
      </c>
    </row>
    <row r="58" spans="1:26" ht="12.75" customHeight="1" x14ac:dyDescent="0.25">
      <c r="A58" s="414" t="s">
        <v>118</v>
      </c>
      <c r="B58" s="438">
        <v>50000</v>
      </c>
      <c r="C58" s="417">
        <v>0</v>
      </c>
      <c r="D58" s="417">
        <v>0</v>
      </c>
      <c r="E58" s="443">
        <v>50000</v>
      </c>
      <c r="F58" s="438">
        <v>22300</v>
      </c>
      <c r="G58" s="417">
        <v>0</v>
      </c>
      <c r="H58" s="417">
        <v>0</v>
      </c>
      <c r="I58" s="443">
        <v>22300</v>
      </c>
      <c r="J58" s="438">
        <f t="shared" si="0"/>
        <v>28500</v>
      </c>
      <c r="K58" s="415">
        <v>0</v>
      </c>
      <c r="L58" s="415">
        <v>0</v>
      </c>
      <c r="M58" s="443">
        <f>Budget_VROA_2023!B40</f>
        <v>28500</v>
      </c>
      <c r="N58" s="438">
        <f t="shared" si="1"/>
        <v>47436.528635999995</v>
      </c>
      <c r="O58" s="415">
        <v>0</v>
      </c>
      <c r="P58" s="415">
        <v>0</v>
      </c>
      <c r="Q58" s="443">
        <f>Budget_VROA_2024!B40</f>
        <v>47436.528635999995</v>
      </c>
      <c r="R58" s="438">
        <f t="shared" si="11"/>
        <v>21922</v>
      </c>
      <c r="S58" s="415">
        <v>0</v>
      </c>
      <c r="T58" s="415">
        <v>0</v>
      </c>
      <c r="U58" s="443">
        <v>21922</v>
      </c>
      <c r="V58" s="438">
        <f t="shared" si="12"/>
        <v>19646</v>
      </c>
      <c r="W58" s="415">
        <v>0</v>
      </c>
      <c r="X58" s="415">
        <v>0</v>
      </c>
      <c r="Y58" s="443">
        <v>19646</v>
      </c>
    </row>
    <row r="59" spans="1:26" ht="12.75" customHeight="1" x14ac:dyDescent="0.25">
      <c r="A59" s="414" t="s">
        <v>120</v>
      </c>
      <c r="B59" s="438">
        <v>34150</v>
      </c>
      <c r="C59" s="417">
        <v>0</v>
      </c>
      <c r="D59" s="415">
        <v>34150</v>
      </c>
      <c r="E59" s="444">
        <v>0</v>
      </c>
      <c r="F59" s="438">
        <v>34492</v>
      </c>
      <c r="G59" s="417">
        <v>0</v>
      </c>
      <c r="H59" s="415">
        <v>34492</v>
      </c>
      <c r="I59" s="444">
        <v>0</v>
      </c>
      <c r="J59" s="438">
        <f t="shared" si="0"/>
        <v>30000</v>
      </c>
      <c r="K59" s="415">
        <v>0</v>
      </c>
      <c r="L59" s="415">
        <f>Budget_CfgOA_2023!S47</f>
        <v>30000</v>
      </c>
      <c r="M59" s="443">
        <v>0</v>
      </c>
      <c r="N59" s="438">
        <f t="shared" si="1"/>
        <v>20000</v>
      </c>
      <c r="O59" s="415">
        <v>0</v>
      </c>
      <c r="P59" s="415">
        <f>Budget_CfgOA_2024!D36</f>
        <v>20000</v>
      </c>
      <c r="Q59" s="443">
        <v>0</v>
      </c>
      <c r="R59" s="438">
        <f t="shared" si="11"/>
        <v>19073</v>
      </c>
      <c r="S59" s="415">
        <v>0</v>
      </c>
      <c r="T59" s="415">
        <v>19073</v>
      </c>
      <c r="U59" s="443">
        <v>0</v>
      </c>
      <c r="V59" s="438">
        <f t="shared" si="12"/>
        <v>13289</v>
      </c>
      <c r="W59" s="415">
        <v>0</v>
      </c>
      <c r="X59" s="415">
        <v>13289</v>
      </c>
      <c r="Y59" s="443">
        <v>0</v>
      </c>
    </row>
    <row r="60" spans="1:26" ht="12.75" customHeight="1" x14ac:dyDescent="0.25">
      <c r="A60" s="414" t="s">
        <v>121</v>
      </c>
      <c r="B60" s="438">
        <v>7500</v>
      </c>
      <c r="C60" s="417">
        <v>0</v>
      </c>
      <c r="D60" s="417">
        <v>0</v>
      </c>
      <c r="E60" s="443">
        <v>7500</v>
      </c>
      <c r="F60" s="438">
        <v>6100</v>
      </c>
      <c r="G60" s="417">
        <v>0</v>
      </c>
      <c r="H60" s="417">
        <v>0</v>
      </c>
      <c r="I60" s="443">
        <v>6100</v>
      </c>
      <c r="J60" s="438">
        <f t="shared" si="0"/>
        <v>4900</v>
      </c>
      <c r="K60" s="415">
        <v>0</v>
      </c>
      <c r="L60" s="415">
        <v>0</v>
      </c>
      <c r="M60" s="443">
        <f>Budget_VROA_2023!B41</f>
        <v>4900</v>
      </c>
      <c r="N60" s="438">
        <f t="shared" si="1"/>
        <v>10816.494079999999</v>
      </c>
      <c r="O60" s="415">
        <v>0</v>
      </c>
      <c r="P60" s="415">
        <v>0</v>
      </c>
      <c r="Q60" s="443">
        <f>Budget_VROA_2024!B41</f>
        <v>10816.494079999999</v>
      </c>
      <c r="R60" s="438">
        <f t="shared" si="11"/>
        <v>3824</v>
      </c>
      <c r="S60" s="415">
        <v>0</v>
      </c>
      <c r="T60" s="415">
        <v>0</v>
      </c>
      <c r="U60" s="443">
        <v>3824</v>
      </c>
      <c r="V60" s="438">
        <f t="shared" si="12"/>
        <v>2480</v>
      </c>
      <c r="W60" s="415">
        <v>0</v>
      </c>
      <c r="X60" s="415">
        <v>0</v>
      </c>
      <c r="Y60" s="443">
        <v>2480</v>
      </c>
    </row>
    <row r="61" spans="1:26" ht="12.75" customHeight="1" x14ac:dyDescent="0.25">
      <c r="A61" s="414" t="s">
        <v>122</v>
      </c>
      <c r="B61" s="438">
        <v>6000</v>
      </c>
      <c r="C61" s="417">
        <v>0</v>
      </c>
      <c r="D61" s="415">
        <v>6000</v>
      </c>
      <c r="E61" s="444">
        <v>0</v>
      </c>
      <c r="F61" s="438">
        <v>6060</v>
      </c>
      <c r="G61" s="417">
        <v>0</v>
      </c>
      <c r="H61" s="415">
        <v>6060</v>
      </c>
      <c r="I61" s="444">
        <v>0</v>
      </c>
      <c r="J61" s="438">
        <f t="shared" si="0"/>
        <v>5000</v>
      </c>
      <c r="K61" s="415">
        <v>0</v>
      </c>
      <c r="L61" s="415">
        <f>Budget_CfgOA_2023!S48</f>
        <v>5000</v>
      </c>
      <c r="M61" s="443">
        <v>0</v>
      </c>
      <c r="N61" s="438">
        <f t="shared" si="1"/>
        <v>3333</v>
      </c>
      <c r="O61" s="415">
        <v>0</v>
      </c>
      <c r="P61" s="415">
        <f>Budget_CfgOA_2024!D37</f>
        <v>3333</v>
      </c>
      <c r="Q61" s="443">
        <v>0</v>
      </c>
      <c r="R61" s="438">
        <f t="shared" si="11"/>
        <v>1091</v>
      </c>
      <c r="S61" s="415">
        <v>0</v>
      </c>
      <c r="T61" s="415">
        <v>1091</v>
      </c>
      <c r="U61" s="443">
        <v>0</v>
      </c>
      <c r="V61" s="438">
        <f t="shared" si="12"/>
        <v>1943</v>
      </c>
      <c r="W61" s="415">
        <v>0</v>
      </c>
      <c r="X61" s="415">
        <v>1943</v>
      </c>
      <c r="Y61" s="443">
        <v>0</v>
      </c>
    </row>
    <row r="62" spans="1:26" ht="12.75" customHeight="1" x14ac:dyDescent="0.25">
      <c r="A62" s="414" t="s">
        <v>123</v>
      </c>
      <c r="B62" s="438">
        <v>27250</v>
      </c>
      <c r="C62" s="415">
        <v>1250</v>
      </c>
      <c r="D62" s="415">
        <v>12000</v>
      </c>
      <c r="E62" s="443">
        <v>14000</v>
      </c>
      <c r="F62" s="438">
        <v>40870</v>
      </c>
      <c r="G62" s="415">
        <v>1250</v>
      </c>
      <c r="H62" s="415">
        <v>12120</v>
      </c>
      <c r="I62" s="443">
        <v>27500</v>
      </c>
      <c r="J62" s="438">
        <f t="shared" si="0"/>
        <v>43991</v>
      </c>
      <c r="K62" s="415">
        <v>1250</v>
      </c>
      <c r="L62" s="415">
        <f>Budget_CfgOA_2023!S51</f>
        <v>12241</v>
      </c>
      <c r="M62" s="443">
        <f>Budget_VROA_2023!B43</f>
        <v>30500</v>
      </c>
      <c r="N62" s="438">
        <f t="shared" si="1"/>
        <v>36519</v>
      </c>
      <c r="O62" s="415">
        <v>1250</v>
      </c>
      <c r="P62" s="415">
        <f>Budget_CfgOA_2024!D40</f>
        <v>12769</v>
      </c>
      <c r="Q62" s="443">
        <f>Budget_VROA_2024!B43</f>
        <v>22500</v>
      </c>
      <c r="R62" s="438">
        <f t="shared" si="11"/>
        <v>40171</v>
      </c>
      <c r="S62" s="415">
        <v>2500</v>
      </c>
      <c r="T62" s="415">
        <v>13321</v>
      </c>
      <c r="U62" s="443">
        <v>24350</v>
      </c>
      <c r="V62" s="438">
        <f t="shared" si="12"/>
        <v>38726</v>
      </c>
      <c r="W62" s="415">
        <v>1000</v>
      </c>
      <c r="X62" s="415">
        <v>14321</v>
      </c>
      <c r="Y62" s="443">
        <v>23405</v>
      </c>
      <c r="Z62" s="497"/>
    </row>
    <row r="63" spans="1:26" ht="12.75" customHeight="1" x14ac:dyDescent="0.25">
      <c r="A63" s="414" t="s">
        <v>124</v>
      </c>
      <c r="B63" s="438">
        <v>25000</v>
      </c>
      <c r="C63" s="415">
        <v>1000</v>
      </c>
      <c r="D63" s="415">
        <v>10000</v>
      </c>
      <c r="E63" s="443">
        <v>14000</v>
      </c>
      <c r="F63" s="438">
        <v>39850</v>
      </c>
      <c r="G63" s="415">
        <v>1000</v>
      </c>
      <c r="H63" s="415">
        <v>10100</v>
      </c>
      <c r="I63" s="443">
        <v>28750</v>
      </c>
      <c r="J63" s="438">
        <f t="shared" ref="J63:J126" si="13">SUM(K63:M63)</f>
        <v>41520</v>
      </c>
      <c r="K63" s="415">
        <v>1000</v>
      </c>
      <c r="L63" s="415">
        <f>Budget_CfgOA_2023!S50</f>
        <v>12120</v>
      </c>
      <c r="M63" s="443">
        <f>Budget_VROA_2023!B44</f>
        <v>28400</v>
      </c>
      <c r="N63" s="438">
        <f t="shared" ref="N63:N126" si="14">SUM(O63:Q63)</f>
        <v>42143</v>
      </c>
      <c r="O63" s="415">
        <v>1000</v>
      </c>
      <c r="P63" s="415">
        <f>Budget_CfgOA_2024!D39</f>
        <v>12643</v>
      </c>
      <c r="Q63" s="443">
        <f>Budget_VROA_2024!B44</f>
        <v>28500</v>
      </c>
      <c r="R63" s="438">
        <f t="shared" ref="R63:R80" si="15">SUM(S63:U63)</f>
        <v>33187</v>
      </c>
      <c r="S63" s="415">
        <v>1500</v>
      </c>
      <c r="T63" s="415">
        <v>13187</v>
      </c>
      <c r="U63" s="443">
        <v>18500</v>
      </c>
      <c r="V63" s="438">
        <f t="shared" ref="V63:V71" si="16">SUM(W63:Y63)</f>
        <v>34137</v>
      </c>
      <c r="W63" s="415">
        <v>500</v>
      </c>
      <c r="X63" s="415">
        <v>13187</v>
      </c>
      <c r="Y63" s="443">
        <v>20450</v>
      </c>
      <c r="Z63" s="497"/>
    </row>
    <row r="64" spans="1:26" ht="12.75" customHeight="1" x14ac:dyDescent="0.25">
      <c r="A64" s="414" t="s">
        <v>1039</v>
      </c>
      <c r="B64" s="438">
        <v>6300</v>
      </c>
      <c r="C64" s="415">
        <v>500</v>
      </c>
      <c r="D64" s="415">
        <v>800</v>
      </c>
      <c r="E64" s="443">
        <v>5000</v>
      </c>
      <c r="F64" s="438">
        <v>6308</v>
      </c>
      <c r="G64" s="415">
        <v>500</v>
      </c>
      <c r="H64" s="415">
        <v>808</v>
      </c>
      <c r="I64" s="443">
        <v>5000</v>
      </c>
      <c r="J64" s="438">
        <f t="shared" si="13"/>
        <v>6316</v>
      </c>
      <c r="K64" s="415">
        <v>500</v>
      </c>
      <c r="L64" s="415">
        <f>Budget_CfgOA_2023!S52</f>
        <v>816</v>
      </c>
      <c r="M64" s="443">
        <f>Budget_VROA_2023!B45</f>
        <v>5000</v>
      </c>
      <c r="N64" s="438">
        <f t="shared" si="14"/>
        <v>6300</v>
      </c>
      <c r="O64" s="415">
        <v>500</v>
      </c>
      <c r="P64" s="415">
        <f>Budget_CfgOA_2024!D41</f>
        <v>400</v>
      </c>
      <c r="Q64" s="443">
        <f>Budget_VROA_2024!B45</f>
        <v>5400</v>
      </c>
      <c r="R64" s="438">
        <f t="shared" si="15"/>
        <v>7300</v>
      </c>
      <c r="S64" s="415">
        <v>1500</v>
      </c>
      <c r="T64" s="415">
        <v>400</v>
      </c>
      <c r="U64" s="443">
        <v>5400</v>
      </c>
      <c r="V64" s="438">
        <f t="shared" si="16"/>
        <v>4800</v>
      </c>
      <c r="W64" s="415">
        <v>500</v>
      </c>
      <c r="X64" s="415">
        <v>400</v>
      </c>
      <c r="Y64" s="443">
        <v>3900</v>
      </c>
      <c r="Z64" s="497"/>
    </row>
    <row r="65" spans="1:36" ht="12.75" customHeight="1" x14ac:dyDescent="0.25">
      <c r="A65" s="414" t="s">
        <v>126</v>
      </c>
      <c r="B65" s="438">
        <v>2650</v>
      </c>
      <c r="C65" s="415">
        <v>150</v>
      </c>
      <c r="D65" s="415">
        <v>2500</v>
      </c>
      <c r="E65" s="443">
        <v>0</v>
      </c>
      <c r="F65" s="438">
        <v>6425</v>
      </c>
      <c r="G65" s="415">
        <v>150</v>
      </c>
      <c r="H65" s="415">
        <v>2525</v>
      </c>
      <c r="I65" s="443">
        <v>3750</v>
      </c>
      <c r="J65" s="438">
        <f t="shared" si="13"/>
        <v>2700</v>
      </c>
      <c r="K65" s="415">
        <v>150</v>
      </c>
      <c r="L65" s="415">
        <f>Budget_CfgOA_2023!S53</f>
        <v>2550</v>
      </c>
      <c r="M65" s="443">
        <f>Budget_VROA_2023!B46</f>
        <v>0</v>
      </c>
      <c r="N65" s="438">
        <f t="shared" si="14"/>
        <v>3150</v>
      </c>
      <c r="O65" s="415">
        <v>150</v>
      </c>
      <c r="P65" s="415">
        <f>Budget_CfgOA_2024!D42</f>
        <v>2000</v>
      </c>
      <c r="Q65" s="443">
        <f>Budget_VROA_2024!B46</f>
        <v>1000</v>
      </c>
      <c r="R65" s="438">
        <f t="shared" si="15"/>
        <v>6150</v>
      </c>
      <c r="S65" s="415">
        <v>150</v>
      </c>
      <c r="T65" s="415">
        <v>2000</v>
      </c>
      <c r="U65" s="443">
        <v>4000</v>
      </c>
      <c r="V65" s="438">
        <f t="shared" si="16"/>
        <v>5150</v>
      </c>
      <c r="W65" s="415">
        <v>150</v>
      </c>
      <c r="X65" s="415">
        <v>1000</v>
      </c>
      <c r="Y65" s="443">
        <v>4000</v>
      </c>
      <c r="Z65" s="497"/>
    </row>
    <row r="66" spans="1:36" ht="12.75" customHeight="1" x14ac:dyDescent="0.25">
      <c r="A66" s="414" t="s">
        <v>127</v>
      </c>
      <c r="B66" s="438">
        <v>12000</v>
      </c>
      <c r="C66" s="417">
        <v>0</v>
      </c>
      <c r="D66" s="415">
        <v>12000</v>
      </c>
      <c r="E66" s="444">
        <v>0</v>
      </c>
      <c r="F66" s="438">
        <v>12120</v>
      </c>
      <c r="G66" s="417">
        <v>0</v>
      </c>
      <c r="H66" s="415">
        <v>12120</v>
      </c>
      <c r="I66" s="444">
        <v>0</v>
      </c>
      <c r="J66" s="438">
        <f t="shared" si="13"/>
        <v>12241</v>
      </c>
      <c r="K66" s="415">
        <v>0</v>
      </c>
      <c r="L66" s="415">
        <f>Budget_CfgOA_2023!S56</f>
        <v>12241</v>
      </c>
      <c r="M66" s="443">
        <v>0</v>
      </c>
      <c r="N66" s="438">
        <f t="shared" si="14"/>
        <v>12000</v>
      </c>
      <c r="O66" s="415">
        <v>0</v>
      </c>
      <c r="P66" s="415">
        <f>Budget_CfgOA_2024!D45</f>
        <v>12000</v>
      </c>
      <c r="Q66" s="443">
        <v>0</v>
      </c>
      <c r="R66" s="438">
        <f t="shared" si="15"/>
        <v>12000</v>
      </c>
      <c r="S66" s="415">
        <v>0</v>
      </c>
      <c r="T66" s="415">
        <v>12000</v>
      </c>
      <c r="U66" s="443">
        <v>0</v>
      </c>
      <c r="V66" s="438">
        <f t="shared" si="16"/>
        <v>5040</v>
      </c>
      <c r="W66" s="415">
        <v>0</v>
      </c>
      <c r="X66" s="415">
        <v>5040</v>
      </c>
      <c r="Y66" s="443">
        <v>0</v>
      </c>
    </row>
    <row r="67" spans="1:36" ht="12.75" customHeight="1" x14ac:dyDescent="0.25">
      <c r="A67" s="414" t="s">
        <v>128</v>
      </c>
      <c r="B67" s="438">
        <v>4500</v>
      </c>
      <c r="C67" s="417">
        <v>0</v>
      </c>
      <c r="D67" s="417">
        <v>0</v>
      </c>
      <c r="E67" s="443">
        <v>4500</v>
      </c>
      <c r="F67" s="438">
        <v>2500</v>
      </c>
      <c r="G67" s="417">
        <v>0</v>
      </c>
      <c r="H67" s="417">
        <v>0</v>
      </c>
      <c r="I67" s="443">
        <v>2500</v>
      </c>
      <c r="J67" s="438">
        <f t="shared" si="13"/>
        <v>2500</v>
      </c>
      <c r="K67" s="415">
        <v>0</v>
      </c>
      <c r="L67" s="415">
        <f>Budget_CfgOA_2023!S54</f>
        <v>0</v>
      </c>
      <c r="M67" s="443">
        <f>Budget_VROA_2023!B48</f>
        <v>2500</v>
      </c>
      <c r="N67" s="438">
        <f t="shared" si="14"/>
        <v>12500</v>
      </c>
      <c r="O67" s="415">
        <v>0</v>
      </c>
      <c r="P67" s="415">
        <f>Budget_CfgOA_2024!D43</f>
        <v>10000</v>
      </c>
      <c r="Q67" s="443">
        <f>Budget_VROA_2024!B48</f>
        <v>2500</v>
      </c>
      <c r="R67" s="438">
        <f t="shared" si="15"/>
        <v>12500</v>
      </c>
      <c r="S67" s="415">
        <v>0</v>
      </c>
      <c r="T67" s="415">
        <v>10000</v>
      </c>
      <c r="U67" s="443">
        <v>2500</v>
      </c>
      <c r="V67" s="438">
        <f t="shared" si="16"/>
        <v>11700</v>
      </c>
      <c r="W67" s="415">
        <v>0</v>
      </c>
      <c r="X67" s="415">
        <v>10000</v>
      </c>
      <c r="Y67" s="443">
        <v>1700</v>
      </c>
    </row>
    <row r="68" spans="1:36" ht="12.75" customHeight="1" x14ac:dyDescent="0.25">
      <c r="A68" s="414" t="s">
        <v>130</v>
      </c>
      <c r="B68" s="440">
        <v>0</v>
      </c>
      <c r="C68" s="417">
        <v>0</v>
      </c>
      <c r="D68" s="417">
        <v>0</v>
      </c>
      <c r="E68" s="444">
        <v>0</v>
      </c>
      <c r="F68" s="440">
        <v>0</v>
      </c>
      <c r="G68" s="417">
        <v>0</v>
      </c>
      <c r="H68" s="417">
        <v>0</v>
      </c>
      <c r="I68" s="444">
        <v>0</v>
      </c>
      <c r="J68" s="438">
        <f t="shared" si="13"/>
        <v>0</v>
      </c>
      <c r="K68" s="415">
        <v>0</v>
      </c>
      <c r="L68" s="415">
        <v>0</v>
      </c>
      <c r="M68" s="443">
        <v>0</v>
      </c>
      <c r="N68" s="438">
        <f t="shared" si="14"/>
        <v>0</v>
      </c>
      <c r="O68" s="415">
        <v>0</v>
      </c>
      <c r="P68" s="415">
        <v>0</v>
      </c>
      <c r="Q68" s="443">
        <v>0</v>
      </c>
      <c r="R68" s="438">
        <f t="shared" si="15"/>
        <v>0</v>
      </c>
      <c r="S68" s="415">
        <v>0</v>
      </c>
      <c r="T68" s="415">
        <v>0</v>
      </c>
      <c r="U68" s="443">
        <v>0</v>
      </c>
      <c r="V68" s="438">
        <f t="shared" si="16"/>
        <v>0</v>
      </c>
      <c r="W68" s="415">
        <v>0</v>
      </c>
      <c r="X68" s="415">
        <v>0</v>
      </c>
      <c r="Y68" s="443">
        <v>0</v>
      </c>
    </row>
    <row r="69" spans="1:36" ht="12.75" customHeight="1" x14ac:dyDescent="0.25">
      <c r="A69" s="414" t="s">
        <v>131</v>
      </c>
      <c r="B69" s="438">
        <v>9000</v>
      </c>
      <c r="C69" s="415">
        <v>9000</v>
      </c>
      <c r="D69" s="417">
        <v>0</v>
      </c>
      <c r="E69" s="444">
        <v>0</v>
      </c>
      <c r="F69" s="438">
        <v>9000</v>
      </c>
      <c r="G69" s="415">
        <v>9000</v>
      </c>
      <c r="H69" s="417">
        <v>0</v>
      </c>
      <c r="I69" s="444">
        <v>0</v>
      </c>
      <c r="J69" s="438">
        <f t="shared" si="13"/>
        <v>9000</v>
      </c>
      <c r="K69" s="415">
        <v>9000</v>
      </c>
      <c r="L69" s="415">
        <v>0</v>
      </c>
      <c r="M69" s="443">
        <v>0</v>
      </c>
      <c r="N69" s="438">
        <f t="shared" si="14"/>
        <v>10000</v>
      </c>
      <c r="O69" s="415">
        <v>10000</v>
      </c>
      <c r="P69" s="415">
        <v>0</v>
      </c>
      <c r="Q69" s="443">
        <v>0</v>
      </c>
      <c r="R69" s="438">
        <f t="shared" si="15"/>
        <v>14600</v>
      </c>
      <c r="S69" s="415">
        <v>14600</v>
      </c>
      <c r="T69" s="415">
        <v>0</v>
      </c>
      <c r="U69" s="443">
        <v>0</v>
      </c>
      <c r="V69" s="438">
        <f t="shared" si="16"/>
        <v>15000</v>
      </c>
      <c r="W69" s="415">
        <f>+ROUND(S69*1.02/100+1,0)*100</f>
        <v>15000</v>
      </c>
      <c r="X69" s="415">
        <v>0</v>
      </c>
      <c r="Y69" s="443">
        <v>0</v>
      </c>
    </row>
    <row r="70" spans="1:36" ht="12.75" customHeight="1" x14ac:dyDescent="0.25">
      <c r="A70" s="414" t="s">
        <v>1041</v>
      </c>
      <c r="B70" s="438">
        <v>50550</v>
      </c>
      <c r="C70" s="415">
        <v>0</v>
      </c>
      <c r="D70" s="417">
        <v>50550</v>
      </c>
      <c r="E70" s="444">
        <v>0</v>
      </c>
      <c r="F70" s="438">
        <v>50356</v>
      </c>
      <c r="G70" s="415">
        <v>0</v>
      </c>
      <c r="H70" s="417">
        <v>45856</v>
      </c>
      <c r="I70" s="444">
        <v>4500</v>
      </c>
      <c r="J70" s="438">
        <f t="shared" si="13"/>
        <v>14500</v>
      </c>
      <c r="K70" s="415">
        <v>0</v>
      </c>
      <c r="L70" s="415">
        <f>Budget_CfgOA_2023!S55</f>
        <v>10000</v>
      </c>
      <c r="M70" s="443">
        <f>Budget_VROA_2023!B47</f>
        <v>4500</v>
      </c>
      <c r="N70" s="438">
        <f t="shared" si="14"/>
        <v>33000</v>
      </c>
      <c r="O70" s="415">
        <v>0</v>
      </c>
      <c r="P70" s="415">
        <f>Budget_CfgOA_2024!D44</f>
        <v>20000</v>
      </c>
      <c r="Q70" s="443">
        <f>Budget_VROA_2024!B47</f>
        <v>13000</v>
      </c>
      <c r="R70" s="438">
        <f t="shared" si="15"/>
        <v>56000</v>
      </c>
      <c r="S70" s="415">
        <v>0</v>
      </c>
      <c r="T70" s="415">
        <v>33000</v>
      </c>
      <c r="U70" s="443">
        <v>23000</v>
      </c>
      <c r="V70" s="438">
        <f t="shared" si="16"/>
        <v>59450</v>
      </c>
      <c r="W70" s="415">
        <v>0</v>
      </c>
      <c r="X70" s="415">
        <v>33000</v>
      </c>
      <c r="Y70" s="443">
        <v>26450</v>
      </c>
    </row>
    <row r="71" spans="1:36" ht="12.75" customHeight="1" x14ac:dyDescent="0.25">
      <c r="A71" s="414" t="s">
        <v>133</v>
      </c>
      <c r="B71" s="438">
        <v>15000</v>
      </c>
      <c r="C71" s="417">
        <v>0</v>
      </c>
      <c r="D71" s="415">
        <v>15000</v>
      </c>
      <c r="E71" s="444">
        <v>0</v>
      </c>
      <c r="F71" s="438">
        <v>15150</v>
      </c>
      <c r="G71" s="417">
        <v>0</v>
      </c>
      <c r="H71" s="415">
        <v>15150</v>
      </c>
      <c r="I71" s="444">
        <v>0</v>
      </c>
      <c r="J71" s="438">
        <f t="shared" si="13"/>
        <v>0</v>
      </c>
      <c r="K71" s="415">
        <v>0</v>
      </c>
      <c r="L71" s="415">
        <f>Budget_CfgOA_2023!S58</f>
        <v>0</v>
      </c>
      <c r="M71" s="443">
        <v>0</v>
      </c>
      <c r="N71" s="438">
        <f t="shared" si="14"/>
        <v>0</v>
      </c>
      <c r="O71" s="415">
        <v>0</v>
      </c>
      <c r="P71" s="415">
        <v>0</v>
      </c>
      <c r="Q71" s="443">
        <v>0</v>
      </c>
      <c r="R71" s="438">
        <f t="shared" si="15"/>
        <v>0</v>
      </c>
      <c r="S71" s="415">
        <v>0</v>
      </c>
      <c r="T71" s="415">
        <v>0</v>
      </c>
      <c r="U71" s="443">
        <v>0</v>
      </c>
      <c r="V71" s="438">
        <f t="shared" si="16"/>
        <v>0</v>
      </c>
      <c r="W71" s="415">
        <v>0</v>
      </c>
      <c r="X71" s="415">
        <v>0</v>
      </c>
      <c r="Y71" s="443">
        <v>0</v>
      </c>
    </row>
    <row r="72" spans="1:36" ht="12.75" customHeight="1" x14ac:dyDescent="0.25">
      <c r="A72" s="411" t="s">
        <v>134</v>
      </c>
      <c r="B72" s="436">
        <v>12000</v>
      </c>
      <c r="C72" s="412">
        <v>9500</v>
      </c>
      <c r="D72" s="422">
        <v>0</v>
      </c>
      <c r="E72" s="442">
        <v>2500</v>
      </c>
      <c r="F72" s="436">
        <v>13800</v>
      </c>
      <c r="G72" s="412">
        <v>9500</v>
      </c>
      <c r="H72" s="422">
        <v>0</v>
      </c>
      <c r="I72" s="442">
        <v>4300</v>
      </c>
      <c r="J72" s="436">
        <f t="shared" si="13"/>
        <v>17236</v>
      </c>
      <c r="K72" s="412">
        <f>SUM(K73:K80)</f>
        <v>12936</v>
      </c>
      <c r="L72" s="412">
        <f>SUM(L73:L80)</f>
        <v>0</v>
      </c>
      <c r="M72" s="442">
        <f>SUM(M73:M80)</f>
        <v>4300</v>
      </c>
      <c r="N72" s="436">
        <f t="shared" si="14"/>
        <v>9400</v>
      </c>
      <c r="O72" s="412">
        <f>SUM(O73:O80)</f>
        <v>5100</v>
      </c>
      <c r="P72" s="412">
        <f>SUM(P73:P80)</f>
        <v>0</v>
      </c>
      <c r="Q72" s="442">
        <f>SUM(Q73:Q80)</f>
        <v>4300</v>
      </c>
      <c r="R72" s="436">
        <f t="shared" si="15"/>
        <v>11975</v>
      </c>
      <c r="S72" s="412">
        <f>SUM(S73:S80)</f>
        <v>5100</v>
      </c>
      <c r="T72" s="412">
        <f>SUM(T73:T80)</f>
        <v>0</v>
      </c>
      <c r="U72" s="442">
        <f>SUM(U73:U80)</f>
        <v>6875</v>
      </c>
      <c r="V72" s="436">
        <f t="shared" ref="V72:V80" si="17">SUM(W72:Y72)</f>
        <v>16875</v>
      </c>
      <c r="W72" s="412">
        <f>SUM(W73:W80)</f>
        <v>10000</v>
      </c>
      <c r="X72" s="412">
        <f>SUM(X73:X80)</f>
        <v>0</v>
      </c>
      <c r="Y72" s="442">
        <f>SUM(Y73:Y80)</f>
        <v>6875</v>
      </c>
    </row>
    <row r="73" spans="1:36" x14ac:dyDescent="0.25">
      <c r="A73" s="414" t="s">
        <v>1036</v>
      </c>
      <c r="B73" s="438">
        <v>2500</v>
      </c>
      <c r="C73" s="417">
        <v>0</v>
      </c>
      <c r="D73" s="417">
        <v>0</v>
      </c>
      <c r="E73" s="443">
        <v>2500</v>
      </c>
      <c r="F73" s="438">
        <v>4300</v>
      </c>
      <c r="G73" s="417">
        <v>0</v>
      </c>
      <c r="H73" s="417">
        <v>0</v>
      </c>
      <c r="I73" s="443">
        <v>4300</v>
      </c>
      <c r="J73" s="438">
        <f t="shared" si="13"/>
        <v>4300</v>
      </c>
      <c r="K73" s="415">
        <v>0</v>
      </c>
      <c r="L73" s="415">
        <v>0</v>
      </c>
      <c r="M73" s="443">
        <f>Budget_VROA_2023!B42</f>
        <v>4300</v>
      </c>
      <c r="N73" s="438">
        <f t="shared" si="14"/>
        <v>4300</v>
      </c>
      <c r="O73" s="415">
        <v>0</v>
      </c>
      <c r="P73" s="415">
        <v>0</v>
      </c>
      <c r="Q73" s="443">
        <f>Budget_VROA_2024!B42</f>
        <v>4300</v>
      </c>
      <c r="R73" s="438">
        <f t="shared" si="15"/>
        <v>6875</v>
      </c>
      <c r="S73" s="415">
        <v>0</v>
      </c>
      <c r="T73" s="415">
        <v>0</v>
      </c>
      <c r="U73" s="443">
        <v>6875</v>
      </c>
      <c r="V73" s="438">
        <f t="shared" si="17"/>
        <v>12875</v>
      </c>
      <c r="W73" s="415">
        <f>10000-W79-W80</f>
        <v>6000</v>
      </c>
      <c r="X73" s="415">
        <v>0</v>
      </c>
      <c r="Y73" s="443">
        <v>6875</v>
      </c>
    </row>
    <row r="74" spans="1:36" ht="12.75" customHeight="1" x14ac:dyDescent="0.25">
      <c r="A74" s="414" t="s">
        <v>135</v>
      </c>
      <c r="B74" s="440">
        <v>0</v>
      </c>
      <c r="C74" s="417">
        <v>0</v>
      </c>
      <c r="D74" s="417">
        <v>0</v>
      </c>
      <c r="E74" s="444">
        <v>0</v>
      </c>
      <c r="F74" s="440">
        <v>0</v>
      </c>
      <c r="G74" s="417">
        <v>0</v>
      </c>
      <c r="H74" s="417">
        <v>0</v>
      </c>
      <c r="I74" s="444">
        <v>0</v>
      </c>
      <c r="J74" s="438">
        <f t="shared" si="13"/>
        <v>0</v>
      </c>
      <c r="K74" s="415">
        <v>0</v>
      </c>
      <c r="L74" s="415">
        <v>0</v>
      </c>
      <c r="M74" s="443">
        <v>0</v>
      </c>
      <c r="N74" s="438">
        <f t="shared" si="14"/>
        <v>0</v>
      </c>
      <c r="O74" s="415">
        <v>0</v>
      </c>
      <c r="P74" s="415">
        <v>0</v>
      </c>
      <c r="Q74" s="443">
        <v>0</v>
      </c>
      <c r="R74" s="438">
        <f t="shared" si="15"/>
        <v>0</v>
      </c>
      <c r="S74" s="415">
        <v>0</v>
      </c>
      <c r="T74" s="415">
        <v>0</v>
      </c>
      <c r="U74" s="443">
        <v>0</v>
      </c>
      <c r="V74" s="438">
        <f t="shared" si="17"/>
        <v>0</v>
      </c>
      <c r="W74" s="415">
        <v>0</v>
      </c>
      <c r="X74" s="415">
        <v>0</v>
      </c>
      <c r="Y74" s="443">
        <v>0</v>
      </c>
    </row>
    <row r="75" spans="1:36" ht="12.75" customHeight="1" x14ac:dyDescent="0.25">
      <c r="A75" s="414" t="s">
        <v>136</v>
      </c>
      <c r="B75" s="440">
        <v>0</v>
      </c>
      <c r="C75" s="417">
        <v>0</v>
      </c>
      <c r="D75" s="417">
        <v>0</v>
      </c>
      <c r="E75" s="444">
        <v>0</v>
      </c>
      <c r="F75" s="440">
        <v>0</v>
      </c>
      <c r="G75" s="417">
        <v>0</v>
      </c>
      <c r="H75" s="417">
        <v>0</v>
      </c>
      <c r="I75" s="444">
        <v>0</v>
      </c>
      <c r="J75" s="438">
        <f t="shared" si="13"/>
        <v>0</v>
      </c>
      <c r="K75" s="415">
        <v>0</v>
      </c>
      <c r="L75" s="415">
        <v>0</v>
      </c>
      <c r="M75" s="443">
        <v>0</v>
      </c>
      <c r="N75" s="438">
        <f t="shared" si="14"/>
        <v>0</v>
      </c>
      <c r="O75" s="415">
        <v>0</v>
      </c>
      <c r="P75" s="415">
        <v>0</v>
      </c>
      <c r="Q75" s="443">
        <v>0</v>
      </c>
      <c r="R75" s="438">
        <f t="shared" si="15"/>
        <v>0</v>
      </c>
      <c r="S75" s="415">
        <v>0</v>
      </c>
      <c r="T75" s="415">
        <v>0</v>
      </c>
      <c r="U75" s="443">
        <v>0</v>
      </c>
      <c r="V75" s="438">
        <f t="shared" si="17"/>
        <v>0</v>
      </c>
      <c r="W75" s="415">
        <v>0</v>
      </c>
      <c r="X75" s="415">
        <v>0</v>
      </c>
      <c r="Y75" s="443">
        <v>0</v>
      </c>
    </row>
    <row r="76" spans="1:36" ht="12.75" customHeight="1" x14ac:dyDescent="0.25">
      <c r="A76" s="414" t="s">
        <v>137</v>
      </c>
      <c r="B76" s="440">
        <v>0</v>
      </c>
      <c r="C76" s="417">
        <v>0</v>
      </c>
      <c r="D76" s="417">
        <v>0</v>
      </c>
      <c r="E76" s="444">
        <v>0</v>
      </c>
      <c r="F76" s="440">
        <v>0</v>
      </c>
      <c r="G76" s="417">
        <v>0</v>
      </c>
      <c r="H76" s="417">
        <v>0</v>
      </c>
      <c r="I76" s="444">
        <v>0</v>
      </c>
      <c r="J76" s="438">
        <f t="shared" si="13"/>
        <v>0</v>
      </c>
      <c r="K76" s="415">
        <v>0</v>
      </c>
      <c r="L76" s="415">
        <v>0</v>
      </c>
      <c r="M76" s="443">
        <v>0</v>
      </c>
      <c r="N76" s="438">
        <f t="shared" si="14"/>
        <v>0</v>
      </c>
      <c r="O76" s="415">
        <v>0</v>
      </c>
      <c r="P76" s="415">
        <v>0</v>
      </c>
      <c r="Q76" s="443">
        <v>0</v>
      </c>
      <c r="R76" s="438">
        <f t="shared" si="15"/>
        <v>0</v>
      </c>
      <c r="S76" s="415">
        <v>0</v>
      </c>
      <c r="T76" s="415">
        <v>0</v>
      </c>
      <c r="U76" s="443">
        <v>0</v>
      </c>
      <c r="V76" s="438">
        <f t="shared" si="17"/>
        <v>0</v>
      </c>
      <c r="W76" s="415">
        <v>0</v>
      </c>
      <c r="X76" s="415">
        <v>0</v>
      </c>
      <c r="Y76" s="443">
        <v>0</v>
      </c>
    </row>
    <row r="77" spans="1:36" ht="12.75" customHeight="1" x14ac:dyDescent="0.25">
      <c r="A77" s="414" t="s">
        <v>138</v>
      </c>
      <c r="B77" s="440">
        <v>0</v>
      </c>
      <c r="C77" s="417">
        <v>0</v>
      </c>
      <c r="D77" s="417">
        <v>0</v>
      </c>
      <c r="E77" s="444">
        <v>0</v>
      </c>
      <c r="F77" s="440">
        <v>0</v>
      </c>
      <c r="G77" s="417">
        <v>0</v>
      </c>
      <c r="H77" s="417">
        <v>0</v>
      </c>
      <c r="I77" s="444">
        <v>0</v>
      </c>
      <c r="J77" s="438">
        <f t="shared" si="13"/>
        <v>0</v>
      </c>
      <c r="K77" s="415">
        <v>0</v>
      </c>
      <c r="L77" s="415">
        <v>0</v>
      </c>
      <c r="M77" s="443">
        <v>0</v>
      </c>
      <c r="N77" s="438">
        <f t="shared" si="14"/>
        <v>0</v>
      </c>
      <c r="O77" s="415">
        <v>0</v>
      </c>
      <c r="P77" s="415">
        <v>0</v>
      </c>
      <c r="Q77" s="443">
        <v>0</v>
      </c>
      <c r="R77" s="438">
        <f t="shared" si="15"/>
        <v>0</v>
      </c>
      <c r="S77" s="415">
        <v>0</v>
      </c>
      <c r="T77" s="415">
        <v>0</v>
      </c>
      <c r="U77" s="443">
        <v>0</v>
      </c>
      <c r="V77" s="438">
        <f t="shared" si="17"/>
        <v>0</v>
      </c>
      <c r="W77" s="415">
        <v>0</v>
      </c>
      <c r="X77" s="415">
        <v>0</v>
      </c>
      <c r="Y77" s="443">
        <v>0</v>
      </c>
    </row>
    <row r="78" spans="1:36" ht="12.75" customHeight="1" x14ac:dyDescent="0.25">
      <c r="A78" s="414" t="s">
        <v>139</v>
      </c>
      <c r="B78" s="440">
        <v>0</v>
      </c>
      <c r="C78" s="417">
        <v>0</v>
      </c>
      <c r="D78" s="417">
        <v>0</v>
      </c>
      <c r="E78" s="444">
        <v>0</v>
      </c>
      <c r="F78" s="440">
        <v>0</v>
      </c>
      <c r="G78" s="417">
        <v>0</v>
      </c>
      <c r="H78" s="417">
        <v>0</v>
      </c>
      <c r="I78" s="444">
        <v>0</v>
      </c>
      <c r="J78" s="438">
        <f t="shared" si="13"/>
        <v>0</v>
      </c>
      <c r="K78" s="415">
        <v>0</v>
      </c>
      <c r="L78" s="415">
        <v>0</v>
      </c>
      <c r="M78" s="443">
        <v>0</v>
      </c>
      <c r="N78" s="438">
        <f t="shared" si="14"/>
        <v>0</v>
      </c>
      <c r="O78" s="415">
        <v>0</v>
      </c>
      <c r="P78" s="415">
        <v>0</v>
      </c>
      <c r="Q78" s="443">
        <v>0</v>
      </c>
      <c r="R78" s="438">
        <f t="shared" si="15"/>
        <v>0</v>
      </c>
      <c r="S78" s="415">
        <v>0</v>
      </c>
      <c r="T78" s="415">
        <v>0</v>
      </c>
      <c r="U78" s="443">
        <v>0</v>
      </c>
      <c r="V78" s="438">
        <f t="shared" si="17"/>
        <v>0</v>
      </c>
      <c r="W78" s="415">
        <v>0</v>
      </c>
      <c r="X78" s="415">
        <v>0</v>
      </c>
      <c r="Y78" s="443">
        <v>0</v>
      </c>
    </row>
    <row r="79" spans="1:36" ht="12.75" customHeight="1" x14ac:dyDescent="0.25">
      <c r="A79" s="414" t="s">
        <v>0</v>
      </c>
      <c r="B79" s="438">
        <v>8000</v>
      </c>
      <c r="C79" s="415">
        <v>8000</v>
      </c>
      <c r="D79" s="417">
        <v>0</v>
      </c>
      <c r="E79" s="444">
        <v>0</v>
      </c>
      <c r="F79" s="438">
        <v>8000</v>
      </c>
      <c r="G79" s="415">
        <v>8000</v>
      </c>
      <c r="H79" s="417">
        <v>0</v>
      </c>
      <c r="I79" s="444">
        <v>0</v>
      </c>
      <c r="J79" s="438">
        <f t="shared" si="13"/>
        <v>11436</v>
      </c>
      <c r="K79" s="415">
        <f>ROUND((G79/31.48)*45,0)</f>
        <v>11436</v>
      </c>
      <c r="L79" s="415">
        <v>0</v>
      </c>
      <c r="M79" s="443">
        <v>0</v>
      </c>
      <c r="N79" s="438">
        <f t="shared" si="14"/>
        <v>2800</v>
      </c>
      <c r="O79" s="415">
        <f>CEILING('Detail 2024-NROA-bron'!B70,100)</f>
        <v>2800</v>
      </c>
      <c r="P79" s="415">
        <v>0</v>
      </c>
      <c r="Q79" s="443">
        <v>0</v>
      </c>
      <c r="R79" s="438">
        <f t="shared" si="15"/>
        <v>2800</v>
      </c>
      <c r="S79" s="415">
        <v>2800</v>
      </c>
      <c r="T79" s="415">
        <v>0</v>
      </c>
      <c r="U79" s="443">
        <v>0</v>
      </c>
      <c r="V79" s="438">
        <f t="shared" si="17"/>
        <v>2800</v>
      </c>
      <c r="W79" s="415">
        <v>2800</v>
      </c>
      <c r="X79" s="415">
        <v>0</v>
      </c>
      <c r="Y79" s="443">
        <v>0</v>
      </c>
      <c r="Z79" s="419"/>
    </row>
    <row r="80" spans="1:36" ht="12.75" customHeight="1" x14ac:dyDescent="0.25">
      <c r="A80" s="414" t="s">
        <v>140</v>
      </c>
      <c r="B80" s="438">
        <v>1500</v>
      </c>
      <c r="C80" s="415">
        <v>1500</v>
      </c>
      <c r="D80" s="417">
        <v>0</v>
      </c>
      <c r="E80" s="444">
        <v>0</v>
      </c>
      <c r="F80" s="438">
        <v>1500</v>
      </c>
      <c r="G80" s="415">
        <v>1500</v>
      </c>
      <c r="H80" s="417">
        <v>0</v>
      </c>
      <c r="I80" s="444">
        <v>0</v>
      </c>
      <c r="J80" s="438">
        <f t="shared" si="13"/>
        <v>1500</v>
      </c>
      <c r="K80" s="415">
        <v>1500</v>
      </c>
      <c r="L80" s="415">
        <v>0</v>
      </c>
      <c r="M80" s="443">
        <v>0</v>
      </c>
      <c r="N80" s="438">
        <f t="shared" si="14"/>
        <v>2300</v>
      </c>
      <c r="O80" s="415">
        <f>CEILING(SUM('Detail 2024-NROA-bron'!D70:E70),100)</f>
        <v>2300</v>
      </c>
      <c r="P80" s="415">
        <v>0</v>
      </c>
      <c r="Q80" s="443">
        <v>0</v>
      </c>
      <c r="R80" s="438">
        <f t="shared" si="15"/>
        <v>2300</v>
      </c>
      <c r="S80" s="415">
        <v>2300</v>
      </c>
      <c r="T80" s="415">
        <v>0</v>
      </c>
      <c r="U80" s="443">
        <v>0</v>
      </c>
      <c r="V80" s="438">
        <f t="shared" si="17"/>
        <v>1200</v>
      </c>
      <c r="W80" s="415">
        <v>1200</v>
      </c>
      <c r="X80" s="415">
        <v>0</v>
      </c>
      <c r="Y80" s="443">
        <v>0</v>
      </c>
      <c r="Z80" s="419"/>
    </row>
    <row r="81" spans="1:26" ht="12.75" customHeight="1" x14ac:dyDescent="0.25">
      <c r="A81" s="411" t="s">
        <v>141</v>
      </c>
      <c r="B81" s="436">
        <v>300000</v>
      </c>
      <c r="C81" s="412">
        <v>43500</v>
      </c>
      <c r="D81" s="412">
        <v>181500</v>
      </c>
      <c r="E81" s="442">
        <v>75000</v>
      </c>
      <c r="F81" s="436">
        <v>306015</v>
      </c>
      <c r="G81" s="412">
        <v>46500</v>
      </c>
      <c r="H81" s="412">
        <v>183315</v>
      </c>
      <c r="I81" s="442">
        <v>76200</v>
      </c>
      <c r="J81" s="436">
        <f t="shared" si="13"/>
        <v>351200</v>
      </c>
      <c r="K81" s="412">
        <f>SUM(K82:K95)</f>
        <v>46500</v>
      </c>
      <c r="L81" s="412">
        <f>SUM(L82:L95)</f>
        <v>178700</v>
      </c>
      <c r="M81" s="442">
        <f>SUM(M82:M94)</f>
        <v>126000</v>
      </c>
      <c r="N81" s="436">
        <f t="shared" si="14"/>
        <v>422815.42212499992</v>
      </c>
      <c r="O81" s="412">
        <f>SUM(O82:O94)</f>
        <v>37500</v>
      </c>
      <c r="P81" s="412">
        <f>SUM(P82:P95)</f>
        <v>168654</v>
      </c>
      <c r="Q81" s="442">
        <f>SUM(Q82:Q94)</f>
        <v>216661.4221249999</v>
      </c>
      <c r="R81" s="436">
        <f t="shared" ref="R81:R88" si="18">SUM(S81:U81)</f>
        <v>416443</v>
      </c>
      <c r="S81" s="412">
        <f>SUM(S82:S94)</f>
        <v>28000</v>
      </c>
      <c r="T81" s="412">
        <f>SUM(T82:T95)</f>
        <v>180076</v>
      </c>
      <c r="U81" s="442">
        <f>SUM(U82:U94)</f>
        <v>208367</v>
      </c>
      <c r="V81" s="436">
        <f t="shared" ref="V81:V94" si="19">SUM(W81:Y81)</f>
        <v>453611</v>
      </c>
      <c r="W81" s="412">
        <f>SUM(W82:W94)</f>
        <v>27000</v>
      </c>
      <c r="X81" s="412">
        <f>SUM(X82:X95)</f>
        <v>155111</v>
      </c>
      <c r="Y81" s="442">
        <f>SUM(Y82:Y94)</f>
        <v>271500</v>
      </c>
      <c r="Z81" s="421"/>
    </row>
    <row r="82" spans="1:26" ht="12.75" customHeight="1" x14ac:dyDescent="0.25">
      <c r="A82" s="414" t="s">
        <v>142</v>
      </c>
      <c r="B82" s="438">
        <v>105000</v>
      </c>
      <c r="C82" s="415">
        <v>15000</v>
      </c>
      <c r="D82" s="415">
        <v>40000</v>
      </c>
      <c r="E82" s="443">
        <v>50000</v>
      </c>
      <c r="F82" s="438">
        <v>105400</v>
      </c>
      <c r="G82" s="415">
        <v>15000</v>
      </c>
      <c r="H82" s="415">
        <v>40400</v>
      </c>
      <c r="I82" s="443">
        <v>50000</v>
      </c>
      <c r="J82" s="438">
        <f t="shared" si="13"/>
        <v>105800</v>
      </c>
      <c r="K82" s="415">
        <v>15000</v>
      </c>
      <c r="L82" s="415">
        <f>Budget_CfgOA_2023!S60</f>
        <v>40800</v>
      </c>
      <c r="M82" s="443">
        <f>Budget_VROA_2023!B50</f>
        <v>50000</v>
      </c>
      <c r="N82" s="438">
        <f t="shared" si="14"/>
        <v>97150</v>
      </c>
      <c r="O82" s="415">
        <v>15000</v>
      </c>
      <c r="P82" s="415">
        <f>Budget_CfgOA_2024!D49</f>
        <v>30000</v>
      </c>
      <c r="Q82" s="443">
        <f>Budget_VROA_2024!B50</f>
        <v>52149.999999999993</v>
      </c>
      <c r="R82" s="438">
        <f t="shared" si="18"/>
        <v>140939</v>
      </c>
      <c r="S82" s="415">
        <v>7500</v>
      </c>
      <c r="T82" s="415">
        <v>38579</v>
      </c>
      <c r="U82" s="443">
        <v>94860</v>
      </c>
      <c r="V82" s="438">
        <f t="shared" si="19"/>
        <v>137500</v>
      </c>
      <c r="W82" s="415">
        <v>7500</v>
      </c>
      <c r="X82" s="415">
        <v>30000</v>
      </c>
      <c r="Y82" s="443">
        <v>100000</v>
      </c>
    </row>
    <row r="83" spans="1:26" ht="12.75" customHeight="1" x14ac:dyDescent="0.25">
      <c r="A83" s="414" t="s">
        <v>143</v>
      </c>
      <c r="B83" s="440">
        <v>0</v>
      </c>
      <c r="C83" s="417">
        <v>0</v>
      </c>
      <c r="D83" s="417">
        <v>0</v>
      </c>
      <c r="E83" s="444">
        <v>0</v>
      </c>
      <c r="F83" s="440">
        <v>0</v>
      </c>
      <c r="G83" s="417">
        <v>0</v>
      </c>
      <c r="H83" s="417">
        <v>0</v>
      </c>
      <c r="I83" s="444">
        <v>0</v>
      </c>
      <c r="J83" s="438">
        <f t="shared" si="13"/>
        <v>5000</v>
      </c>
      <c r="K83" s="415">
        <v>0</v>
      </c>
      <c r="L83" s="415">
        <v>0</v>
      </c>
      <c r="M83" s="443">
        <f>Budget_VROA_2023!B52</f>
        <v>5000</v>
      </c>
      <c r="N83" s="438">
        <f t="shared" si="14"/>
        <v>5215</v>
      </c>
      <c r="O83" s="415">
        <v>0</v>
      </c>
      <c r="P83" s="415">
        <v>0</v>
      </c>
      <c r="Q83" s="443">
        <f>Budget_VROA_2024!B52</f>
        <v>5215</v>
      </c>
      <c r="R83" s="438">
        <f t="shared" si="18"/>
        <v>5215</v>
      </c>
      <c r="S83" s="415">
        <v>0</v>
      </c>
      <c r="T83" s="415">
        <v>0</v>
      </c>
      <c r="U83" s="443">
        <v>5215</v>
      </c>
      <c r="V83" s="438">
        <f t="shared" si="19"/>
        <v>23500</v>
      </c>
      <c r="W83" s="415">
        <v>0</v>
      </c>
      <c r="X83" s="415">
        <v>15000</v>
      </c>
      <c r="Y83" s="443">
        <v>8500</v>
      </c>
    </row>
    <row r="84" spans="1:26" ht="12.75" customHeight="1" x14ac:dyDescent="0.25">
      <c r="A84" s="414" t="s">
        <v>144</v>
      </c>
      <c r="B84" s="438">
        <v>4500</v>
      </c>
      <c r="C84" s="415">
        <v>4500</v>
      </c>
      <c r="D84" s="417">
        <v>0</v>
      </c>
      <c r="E84" s="444">
        <v>0</v>
      </c>
      <c r="F84" s="438">
        <v>4500</v>
      </c>
      <c r="G84" s="415">
        <v>4500</v>
      </c>
      <c r="H84" s="417">
        <v>0</v>
      </c>
      <c r="I84" s="444">
        <v>0</v>
      </c>
      <c r="J84" s="438">
        <f t="shared" si="13"/>
        <v>4500</v>
      </c>
      <c r="K84" s="415">
        <v>4500</v>
      </c>
      <c r="L84" s="415">
        <v>0</v>
      </c>
      <c r="M84" s="443">
        <v>0</v>
      </c>
      <c r="N84" s="438">
        <f t="shared" si="14"/>
        <v>4500</v>
      </c>
      <c r="O84" s="415">
        <v>4500</v>
      </c>
      <c r="P84" s="415">
        <v>0</v>
      </c>
      <c r="Q84" s="443">
        <f>0</f>
        <v>0</v>
      </c>
      <c r="R84" s="438">
        <f t="shared" si="18"/>
        <v>14334</v>
      </c>
      <c r="S84" s="415">
        <v>0</v>
      </c>
      <c r="T84" s="415">
        <v>14334</v>
      </c>
      <c r="U84" s="443">
        <v>0</v>
      </c>
      <c r="V84" s="438">
        <f t="shared" si="19"/>
        <v>18550</v>
      </c>
      <c r="W84" s="415">
        <v>0</v>
      </c>
      <c r="X84" s="415">
        <v>18550</v>
      </c>
      <c r="Y84" s="443">
        <v>0</v>
      </c>
    </row>
    <row r="85" spans="1:26" ht="12.75" customHeight="1" x14ac:dyDescent="0.25">
      <c r="A85" s="414" t="s">
        <v>145</v>
      </c>
      <c r="B85" s="438">
        <v>35000</v>
      </c>
      <c r="C85" s="417">
        <v>0</v>
      </c>
      <c r="D85" s="415">
        <v>10000</v>
      </c>
      <c r="E85" s="443">
        <v>25000</v>
      </c>
      <c r="F85" s="438">
        <v>35100</v>
      </c>
      <c r="G85" s="417">
        <v>0</v>
      </c>
      <c r="H85" s="415">
        <v>10100</v>
      </c>
      <c r="I85" s="443">
        <v>25000</v>
      </c>
      <c r="J85" s="438">
        <f t="shared" si="13"/>
        <v>30200</v>
      </c>
      <c r="K85" s="415">
        <v>0</v>
      </c>
      <c r="L85" s="415">
        <f>Budget_CfgOA_2023!S61</f>
        <v>10200</v>
      </c>
      <c r="M85" s="443">
        <f>Budget_VROA_2023!B51</f>
        <v>20000</v>
      </c>
      <c r="N85" s="438">
        <f t="shared" si="14"/>
        <v>28360</v>
      </c>
      <c r="O85" s="415">
        <v>0</v>
      </c>
      <c r="P85" s="415">
        <f>Budget_CfgOA_2024!D50</f>
        <v>7500</v>
      </c>
      <c r="Q85" s="443">
        <f>Budget_VROA_2024!B51</f>
        <v>20860</v>
      </c>
      <c r="R85" s="438">
        <f t="shared" si="18"/>
        <v>37640</v>
      </c>
      <c r="S85" s="415">
        <v>0</v>
      </c>
      <c r="T85" s="415">
        <v>5000</v>
      </c>
      <c r="U85" s="443">
        <v>32640</v>
      </c>
      <c r="V85" s="438">
        <f t="shared" si="19"/>
        <v>41500</v>
      </c>
      <c r="W85" s="415">
        <v>0</v>
      </c>
      <c r="X85" s="415">
        <v>5000</v>
      </c>
      <c r="Y85" s="443">
        <v>36500</v>
      </c>
    </row>
    <row r="86" spans="1:26" ht="27" customHeight="1" x14ac:dyDescent="0.25">
      <c r="A86" s="414" t="s">
        <v>146</v>
      </c>
      <c r="B86" s="440">
        <v>0</v>
      </c>
      <c r="C86" s="417">
        <v>0</v>
      </c>
      <c r="D86" s="417">
        <v>0</v>
      </c>
      <c r="E86" s="444">
        <v>0</v>
      </c>
      <c r="F86" s="440">
        <v>0</v>
      </c>
      <c r="G86" s="417">
        <v>0</v>
      </c>
      <c r="H86" s="417">
        <v>0</v>
      </c>
      <c r="I86" s="444">
        <v>0</v>
      </c>
      <c r="J86" s="438">
        <f t="shared" si="13"/>
        <v>0</v>
      </c>
      <c r="K86" s="415">
        <v>0</v>
      </c>
      <c r="L86" s="415">
        <v>0</v>
      </c>
      <c r="M86" s="443">
        <v>0</v>
      </c>
      <c r="N86" s="438">
        <f t="shared" si="14"/>
        <v>0</v>
      </c>
      <c r="O86" s="415">
        <v>0</v>
      </c>
      <c r="P86" s="415">
        <v>0</v>
      </c>
      <c r="Q86" s="443">
        <v>0</v>
      </c>
      <c r="R86" s="438">
        <f t="shared" si="18"/>
        <v>0</v>
      </c>
      <c r="S86" s="415">
        <v>0</v>
      </c>
      <c r="T86" s="415">
        <v>0</v>
      </c>
      <c r="U86" s="443">
        <v>0</v>
      </c>
      <c r="V86" s="438">
        <f t="shared" si="19"/>
        <v>0</v>
      </c>
      <c r="W86" s="415">
        <v>0</v>
      </c>
      <c r="X86" s="415">
        <v>0</v>
      </c>
      <c r="Y86" s="443">
        <v>0</v>
      </c>
    </row>
    <row r="87" spans="1:26" ht="12.75" customHeight="1" x14ac:dyDescent="0.25">
      <c r="A87" s="414" t="s">
        <v>147</v>
      </c>
      <c r="B87" s="438">
        <v>15000</v>
      </c>
      <c r="C87" s="417">
        <v>0</v>
      </c>
      <c r="D87" s="415">
        <v>15000</v>
      </c>
      <c r="E87" s="444">
        <v>0</v>
      </c>
      <c r="F87" s="438">
        <v>15150</v>
      </c>
      <c r="G87" s="417">
        <v>0</v>
      </c>
      <c r="H87" s="415">
        <v>15150</v>
      </c>
      <c r="I87" s="444">
        <v>0</v>
      </c>
      <c r="J87" s="438">
        <f t="shared" si="13"/>
        <v>10000</v>
      </c>
      <c r="K87" s="415">
        <v>0</v>
      </c>
      <c r="L87" s="415">
        <f>Budget_CfgOA_2023!S63</f>
        <v>10000</v>
      </c>
      <c r="M87" s="443">
        <v>0</v>
      </c>
      <c r="N87" s="438">
        <f t="shared" si="14"/>
        <v>8500</v>
      </c>
      <c r="O87" s="415">
        <v>0</v>
      </c>
      <c r="P87" s="415">
        <f>Budget_CfgOA_2024!D52</f>
        <v>8500</v>
      </c>
      <c r="Q87" s="443">
        <v>0</v>
      </c>
      <c r="R87" s="438">
        <f t="shared" si="18"/>
        <v>5000</v>
      </c>
      <c r="S87" s="415">
        <v>0</v>
      </c>
      <c r="T87" s="415">
        <v>5000</v>
      </c>
      <c r="U87" s="443">
        <v>0</v>
      </c>
      <c r="V87" s="438">
        <f t="shared" si="19"/>
        <v>5000</v>
      </c>
      <c r="W87" s="415">
        <v>0</v>
      </c>
      <c r="X87" s="415">
        <v>5000</v>
      </c>
      <c r="Y87" s="443">
        <v>0</v>
      </c>
    </row>
    <row r="88" spans="1:26" ht="12.75" customHeight="1" x14ac:dyDescent="0.25">
      <c r="A88" s="414" t="s">
        <v>148</v>
      </c>
      <c r="B88" s="438">
        <v>12500</v>
      </c>
      <c r="C88" s="417">
        <v>0</v>
      </c>
      <c r="D88" s="415">
        <v>12500</v>
      </c>
      <c r="E88" s="444">
        <v>0</v>
      </c>
      <c r="F88" s="438">
        <v>12625</v>
      </c>
      <c r="G88" s="417">
        <v>0</v>
      </c>
      <c r="H88" s="415">
        <v>12625</v>
      </c>
      <c r="I88" s="444">
        <v>0</v>
      </c>
      <c r="J88" s="438">
        <f t="shared" si="13"/>
        <v>12800</v>
      </c>
      <c r="K88" s="415">
        <v>0</v>
      </c>
      <c r="L88" s="415">
        <f>Budget_CfgOA_2023!S64</f>
        <v>12800</v>
      </c>
      <c r="M88" s="443">
        <v>0</v>
      </c>
      <c r="N88" s="438">
        <f t="shared" si="14"/>
        <v>8500</v>
      </c>
      <c r="O88" s="415">
        <v>0</v>
      </c>
      <c r="P88" s="415">
        <f>Budget_CfgOA_2024!D53</f>
        <v>8500</v>
      </c>
      <c r="Q88" s="443">
        <v>0</v>
      </c>
      <c r="R88" s="438">
        <f t="shared" si="18"/>
        <v>5000</v>
      </c>
      <c r="S88" s="415">
        <v>0</v>
      </c>
      <c r="T88" s="415">
        <v>5000</v>
      </c>
      <c r="U88" s="443">
        <v>0</v>
      </c>
      <c r="V88" s="438">
        <f t="shared" si="19"/>
        <v>4000</v>
      </c>
      <c r="W88" s="415">
        <v>0</v>
      </c>
      <c r="X88" s="415">
        <v>4000</v>
      </c>
      <c r="Y88" s="443">
        <v>0</v>
      </c>
    </row>
    <row r="89" spans="1:26" ht="12.75" customHeight="1" x14ac:dyDescent="0.25">
      <c r="A89" s="414" t="s">
        <v>149</v>
      </c>
      <c r="B89" s="438">
        <v>16000</v>
      </c>
      <c r="C89" s="415">
        <v>12000</v>
      </c>
      <c r="D89" s="415">
        <v>4000</v>
      </c>
      <c r="E89" s="444">
        <v>0</v>
      </c>
      <c r="F89" s="438">
        <v>20240</v>
      </c>
      <c r="G89" s="415">
        <v>15000</v>
      </c>
      <c r="H89" s="415">
        <v>4040</v>
      </c>
      <c r="I89" s="443">
        <v>1200</v>
      </c>
      <c r="J89" s="438">
        <f t="shared" si="13"/>
        <v>19100</v>
      </c>
      <c r="K89" s="415">
        <v>15000</v>
      </c>
      <c r="L89" s="415">
        <f>Budget_CfgOA_2023!S67</f>
        <v>4100</v>
      </c>
      <c r="M89" s="443">
        <v>0</v>
      </c>
      <c r="N89" s="438">
        <f t="shared" si="14"/>
        <v>10600</v>
      </c>
      <c r="O89" s="415">
        <v>6000</v>
      </c>
      <c r="P89" s="415">
        <f>Budget_CfgOA_2024!D56</f>
        <v>3000</v>
      </c>
      <c r="Q89" s="443">
        <f>Budget_VROA_2024!B29</f>
        <v>1600</v>
      </c>
      <c r="R89" s="438">
        <f t="shared" ref="R89:R94" si="20">SUM(S89:U89)</f>
        <v>5600</v>
      </c>
      <c r="S89" s="415">
        <v>2000</v>
      </c>
      <c r="T89" s="415">
        <v>2000</v>
      </c>
      <c r="U89" s="443">
        <v>1600</v>
      </c>
      <c r="V89" s="438">
        <f t="shared" si="19"/>
        <v>2500</v>
      </c>
      <c r="W89" s="415">
        <v>500</v>
      </c>
      <c r="X89" s="415">
        <v>500</v>
      </c>
      <c r="Y89" s="443">
        <v>1500</v>
      </c>
    </row>
    <row r="90" spans="1:26" ht="12.75" customHeight="1" x14ac:dyDescent="0.25">
      <c r="A90" s="414" t="s">
        <v>151</v>
      </c>
      <c r="B90" s="438">
        <v>40000</v>
      </c>
      <c r="C90" s="417">
        <v>0</v>
      </c>
      <c r="D90" s="415">
        <v>40000</v>
      </c>
      <c r="E90" s="444">
        <v>0</v>
      </c>
      <c r="F90" s="438">
        <v>40400</v>
      </c>
      <c r="G90" s="417">
        <v>0</v>
      </c>
      <c r="H90" s="415">
        <v>40400</v>
      </c>
      <c r="I90" s="444">
        <v>0</v>
      </c>
      <c r="J90" s="438">
        <f t="shared" si="13"/>
        <v>91800</v>
      </c>
      <c r="K90" s="415">
        <v>0</v>
      </c>
      <c r="L90" s="415">
        <f>Budget_CfgOA_2023!S65</f>
        <v>40800</v>
      </c>
      <c r="M90" s="443">
        <f>Budget_VROA_2023!B53</f>
        <v>51000</v>
      </c>
      <c r="N90" s="438">
        <f t="shared" si="14"/>
        <v>66373.25175000001</v>
      </c>
      <c r="O90" s="415">
        <v>0</v>
      </c>
      <c r="P90" s="415">
        <f>Budget_CfgOA_2024!D54</f>
        <v>42554</v>
      </c>
      <c r="Q90" s="443">
        <f>Budget_VROA_2024!E53</f>
        <v>23819.25175000001</v>
      </c>
      <c r="R90" s="438">
        <f t="shared" si="20"/>
        <v>113179</v>
      </c>
      <c r="S90" s="415">
        <v>0</v>
      </c>
      <c r="T90" s="415">
        <v>39127</v>
      </c>
      <c r="U90" s="443">
        <v>74052</v>
      </c>
      <c r="V90" s="438">
        <f t="shared" si="19"/>
        <v>111000</v>
      </c>
      <c r="W90" s="415">
        <v>0</v>
      </c>
      <c r="X90" s="415">
        <v>36000</v>
      </c>
      <c r="Y90" s="443">
        <v>75000</v>
      </c>
    </row>
    <row r="91" spans="1:26" ht="12.75" customHeight="1" x14ac:dyDescent="0.25">
      <c r="A91" s="414" t="s">
        <v>153</v>
      </c>
      <c r="B91" s="440">
        <v>0</v>
      </c>
      <c r="C91" s="417">
        <v>0</v>
      </c>
      <c r="D91" s="417">
        <v>0</v>
      </c>
      <c r="E91" s="444">
        <v>0</v>
      </c>
      <c r="F91" s="440">
        <v>0</v>
      </c>
      <c r="G91" s="417">
        <v>0</v>
      </c>
      <c r="H91" s="417">
        <v>0</v>
      </c>
      <c r="I91" s="444">
        <v>0</v>
      </c>
      <c r="J91" s="438">
        <f t="shared" si="13"/>
        <v>0</v>
      </c>
      <c r="K91" s="415">
        <v>0</v>
      </c>
      <c r="L91" s="415">
        <v>0</v>
      </c>
      <c r="M91" s="443">
        <v>0</v>
      </c>
      <c r="N91" s="438">
        <f t="shared" si="14"/>
        <v>0</v>
      </c>
      <c r="O91" s="415">
        <v>0</v>
      </c>
      <c r="P91" s="415">
        <v>0</v>
      </c>
      <c r="Q91" s="443">
        <v>0</v>
      </c>
      <c r="R91" s="438">
        <f t="shared" si="20"/>
        <v>0</v>
      </c>
      <c r="S91" s="415">
        <v>0</v>
      </c>
      <c r="T91" s="415">
        <v>0</v>
      </c>
      <c r="U91" s="443">
        <v>0</v>
      </c>
      <c r="V91" s="438">
        <f t="shared" si="19"/>
        <v>0</v>
      </c>
      <c r="W91" s="415">
        <v>0</v>
      </c>
      <c r="X91" s="415">
        <v>0</v>
      </c>
      <c r="Y91" s="443">
        <v>0</v>
      </c>
    </row>
    <row r="92" spans="1:26" ht="12.75" customHeight="1" x14ac:dyDescent="0.25">
      <c r="A92" s="414" t="s">
        <v>154</v>
      </c>
      <c r="B92" s="440">
        <v>0</v>
      </c>
      <c r="C92" s="417">
        <v>0</v>
      </c>
      <c r="D92" s="417">
        <v>0</v>
      </c>
      <c r="E92" s="444">
        <v>0</v>
      </c>
      <c r="F92" s="440">
        <v>0</v>
      </c>
      <c r="G92" s="417">
        <v>0</v>
      </c>
      <c r="H92" s="417">
        <v>0</v>
      </c>
      <c r="I92" s="444">
        <v>0</v>
      </c>
      <c r="J92" s="438">
        <f t="shared" si="13"/>
        <v>0</v>
      </c>
      <c r="K92" s="415">
        <v>0</v>
      </c>
      <c r="L92" s="415">
        <v>0</v>
      </c>
      <c r="M92" s="443">
        <v>0</v>
      </c>
      <c r="N92" s="438">
        <f t="shared" si="14"/>
        <v>121617.17037499989</v>
      </c>
      <c r="O92" s="415">
        <v>0</v>
      </c>
      <c r="P92" s="415">
        <f>Budget_CfgOA_2024!D51</f>
        <v>8600</v>
      </c>
      <c r="Q92" s="443">
        <f>Budget_VROA_2024!D53</f>
        <v>113017.17037499989</v>
      </c>
      <c r="R92" s="438">
        <f t="shared" si="20"/>
        <v>21036</v>
      </c>
      <c r="S92" s="415">
        <v>0</v>
      </c>
      <c r="T92" s="415">
        <v>21036</v>
      </c>
      <c r="U92" s="443">
        <v>0</v>
      </c>
      <c r="V92" s="438">
        <f t="shared" si="19"/>
        <v>56061</v>
      </c>
      <c r="W92" s="415">
        <v>0</v>
      </c>
      <c r="X92" s="415">
        <v>6061</v>
      </c>
      <c r="Y92" s="443">
        <v>50000</v>
      </c>
    </row>
    <row r="93" spans="1:26" ht="12.75" customHeight="1" x14ac:dyDescent="0.25">
      <c r="A93" s="414" t="s">
        <v>156</v>
      </c>
      <c r="B93" s="438">
        <v>12000</v>
      </c>
      <c r="C93" s="415">
        <v>12000</v>
      </c>
      <c r="D93" s="417">
        <v>0</v>
      </c>
      <c r="E93" s="444">
        <v>0</v>
      </c>
      <c r="F93" s="438">
        <v>12000</v>
      </c>
      <c r="G93" s="415">
        <v>12000</v>
      </c>
      <c r="H93" s="417">
        <v>0</v>
      </c>
      <c r="I93" s="444">
        <v>0</v>
      </c>
      <c r="J93" s="438">
        <f t="shared" si="13"/>
        <v>12000</v>
      </c>
      <c r="K93" s="415">
        <v>12000</v>
      </c>
      <c r="L93" s="415">
        <v>0</v>
      </c>
      <c r="M93" s="443">
        <v>0</v>
      </c>
      <c r="N93" s="438">
        <f t="shared" si="14"/>
        <v>12000</v>
      </c>
      <c r="O93" s="415">
        <v>12000</v>
      </c>
      <c r="P93" s="415">
        <f>Budget_CfgOA_2024!D55</f>
        <v>0</v>
      </c>
      <c r="Q93" s="443">
        <v>0</v>
      </c>
      <c r="R93" s="438">
        <f t="shared" si="20"/>
        <v>18500</v>
      </c>
      <c r="S93" s="415">
        <v>18500</v>
      </c>
      <c r="T93" s="415">
        <v>0</v>
      </c>
      <c r="U93" s="443">
        <v>0</v>
      </c>
      <c r="V93" s="438">
        <f t="shared" si="19"/>
        <v>19000</v>
      </c>
      <c r="W93" s="415">
        <f>+ROUND(S93*1.02/100+1,0)*100</f>
        <v>19000</v>
      </c>
      <c r="X93" s="415">
        <v>0</v>
      </c>
      <c r="Y93" s="443">
        <v>0</v>
      </c>
    </row>
    <row r="94" spans="1:26" ht="12.75" customHeight="1" x14ac:dyDescent="0.25">
      <c r="A94" s="414" t="s">
        <v>157</v>
      </c>
      <c r="B94" s="438">
        <v>60000</v>
      </c>
      <c r="C94" s="417">
        <v>0</v>
      </c>
      <c r="D94" s="415">
        <v>60000</v>
      </c>
      <c r="E94" s="444">
        <v>0</v>
      </c>
      <c r="F94" s="438">
        <v>60600</v>
      </c>
      <c r="G94" s="417">
        <v>0</v>
      </c>
      <c r="H94" s="415">
        <v>60600</v>
      </c>
      <c r="I94" s="444">
        <v>0</v>
      </c>
      <c r="J94" s="438">
        <f t="shared" si="13"/>
        <v>60000</v>
      </c>
      <c r="K94" s="415">
        <v>0</v>
      </c>
      <c r="L94" s="415">
        <f>Budget_CfgOA_2023!S68</f>
        <v>60000</v>
      </c>
      <c r="M94" s="443">
        <v>0</v>
      </c>
      <c r="N94" s="438">
        <f t="shared" si="14"/>
        <v>60000</v>
      </c>
      <c r="O94" s="415">
        <v>0</v>
      </c>
      <c r="P94" s="415">
        <f>Budget_CfgOA_2024!D57</f>
        <v>60000</v>
      </c>
      <c r="Q94" s="443">
        <v>0</v>
      </c>
      <c r="R94" s="438">
        <f t="shared" si="20"/>
        <v>50000</v>
      </c>
      <c r="S94" s="415">
        <v>0</v>
      </c>
      <c r="T94" s="415">
        <v>50000</v>
      </c>
      <c r="U94" s="443">
        <v>0</v>
      </c>
      <c r="V94" s="438">
        <f t="shared" si="19"/>
        <v>35000</v>
      </c>
      <c r="W94" s="415">
        <v>0</v>
      </c>
      <c r="X94" s="415">
        <v>35000</v>
      </c>
      <c r="Y94" s="443">
        <v>0</v>
      </c>
    </row>
    <row r="95" spans="1:26" ht="11.7" hidden="1" customHeight="1" x14ac:dyDescent="0.25">
      <c r="A95" s="418"/>
      <c r="B95" s="441"/>
      <c r="C95" s="418"/>
      <c r="D95" s="418"/>
      <c r="E95" s="445"/>
      <c r="F95" s="441"/>
      <c r="G95" s="418"/>
      <c r="H95" s="418"/>
      <c r="I95" s="445"/>
      <c r="J95" s="470"/>
      <c r="K95" s="423"/>
      <c r="L95" s="423"/>
      <c r="M95" s="471"/>
      <c r="N95" s="438"/>
      <c r="O95" s="423"/>
      <c r="P95" s="423"/>
      <c r="Q95" s="443"/>
      <c r="R95" s="470"/>
      <c r="S95" s="423"/>
      <c r="T95" s="423"/>
      <c r="U95" s="471"/>
      <c r="V95" s="470"/>
      <c r="W95" s="423"/>
      <c r="X95" s="423"/>
      <c r="Y95" s="471"/>
    </row>
    <row r="96" spans="1:26" ht="12.75" customHeight="1" x14ac:dyDescent="0.25">
      <c r="A96" s="411" t="s">
        <v>158</v>
      </c>
      <c r="B96" s="436">
        <v>454100</v>
      </c>
      <c r="C96" s="412">
        <v>25000</v>
      </c>
      <c r="D96" s="412">
        <v>261000</v>
      </c>
      <c r="E96" s="442">
        <v>168100</v>
      </c>
      <c r="F96" s="436">
        <v>830825</v>
      </c>
      <c r="G96" s="412">
        <v>25000</v>
      </c>
      <c r="H96" s="412">
        <v>451845</v>
      </c>
      <c r="I96" s="442">
        <v>353980</v>
      </c>
      <c r="J96" s="436">
        <f t="shared" si="13"/>
        <v>480202</v>
      </c>
      <c r="K96" s="412">
        <f>SUM(K97:K116)</f>
        <v>25000</v>
      </c>
      <c r="L96" s="412">
        <f>SUM(L97:L116)</f>
        <v>254152</v>
      </c>
      <c r="M96" s="442">
        <f>SUM(M97:M116)</f>
        <v>201050</v>
      </c>
      <c r="N96" s="436">
        <f t="shared" si="14"/>
        <v>516621.41899999999</v>
      </c>
      <c r="O96" s="412">
        <f>SUM(O97:O115)</f>
        <v>0</v>
      </c>
      <c r="P96" s="412">
        <f>SUM(P97:P116)</f>
        <v>270920</v>
      </c>
      <c r="Q96" s="442">
        <f>SUM(Q97:Q116)</f>
        <v>245701.41899999999</v>
      </c>
      <c r="R96" s="436">
        <f t="shared" ref="R96:R115" si="21">SUM(S96:U96)</f>
        <v>477692</v>
      </c>
      <c r="S96" s="412">
        <f>SUM(S97:S115)</f>
        <v>0</v>
      </c>
      <c r="T96" s="412">
        <f>SUM(T97:T116)</f>
        <v>185099</v>
      </c>
      <c r="U96" s="442">
        <f>SUM(U97:U116)</f>
        <v>292593</v>
      </c>
      <c r="V96" s="436">
        <f t="shared" ref="V96:V115" si="22">SUM(W96:Y96)</f>
        <v>373081</v>
      </c>
      <c r="W96" s="412">
        <f>SUM(W97:W115)</f>
        <v>0</v>
      </c>
      <c r="X96" s="412">
        <f>SUM(X97:X116)</f>
        <v>151581</v>
      </c>
      <c r="Y96" s="442">
        <f>SUM(Y97:Y116)</f>
        <v>221500</v>
      </c>
    </row>
    <row r="97" spans="1:26" ht="12.75" customHeight="1" x14ac:dyDescent="0.25">
      <c r="A97" s="414" t="s">
        <v>159</v>
      </c>
      <c r="B97" s="438">
        <v>37600</v>
      </c>
      <c r="C97" s="415">
        <v>0</v>
      </c>
      <c r="D97" s="417">
        <v>30000</v>
      </c>
      <c r="E97" s="443">
        <v>7600</v>
      </c>
      <c r="F97" s="438">
        <v>40350</v>
      </c>
      <c r="G97" s="415">
        <v>0</v>
      </c>
      <c r="H97" s="417">
        <v>30300</v>
      </c>
      <c r="I97" s="443">
        <v>10050</v>
      </c>
      <c r="J97" s="438">
        <f t="shared" si="13"/>
        <v>15000</v>
      </c>
      <c r="K97" s="415">
        <v>0</v>
      </c>
      <c r="L97" s="415">
        <f>Budget_CfgOA_2023!S70</f>
        <v>15000</v>
      </c>
      <c r="M97" s="443">
        <f>Budget_VROA_2023!B55</f>
        <v>0</v>
      </c>
      <c r="N97" s="438">
        <f t="shared" si="14"/>
        <v>22657</v>
      </c>
      <c r="O97" s="415">
        <v>0</v>
      </c>
      <c r="P97" s="415">
        <f>Budget_CfgOA_2024!D59</f>
        <v>15000</v>
      </c>
      <c r="Q97" s="443">
        <f>Budget_VROA_2024!B56+Budget_VROA_2024!B67</f>
        <v>7657</v>
      </c>
      <c r="R97" s="438">
        <f t="shared" si="21"/>
        <v>12000</v>
      </c>
      <c r="S97" s="415">
        <v>0</v>
      </c>
      <c r="T97" s="415">
        <v>12000</v>
      </c>
      <c r="U97" s="443">
        <v>0</v>
      </c>
      <c r="V97" s="438">
        <f t="shared" si="22"/>
        <v>12000</v>
      </c>
      <c r="W97" s="415">
        <v>0</v>
      </c>
      <c r="X97" s="415">
        <v>12000</v>
      </c>
      <c r="Y97" s="443">
        <v>0</v>
      </c>
    </row>
    <row r="98" spans="1:26" ht="12.75" customHeight="1" x14ac:dyDescent="0.25">
      <c r="A98" s="414" t="s">
        <v>160</v>
      </c>
      <c r="B98" s="438">
        <v>32500</v>
      </c>
      <c r="C98" s="415">
        <v>25000</v>
      </c>
      <c r="D98" s="417">
        <v>0</v>
      </c>
      <c r="E98" s="443">
        <v>7500</v>
      </c>
      <c r="F98" s="438">
        <v>36500</v>
      </c>
      <c r="G98" s="415">
        <v>25000</v>
      </c>
      <c r="H98" s="417">
        <v>0</v>
      </c>
      <c r="I98" s="443">
        <v>11500</v>
      </c>
      <c r="J98" s="438">
        <f t="shared" si="13"/>
        <v>31500</v>
      </c>
      <c r="K98" s="415">
        <v>25000</v>
      </c>
      <c r="L98" s="415">
        <v>0</v>
      </c>
      <c r="M98" s="443">
        <f>Budget_VROA_2023!B58</f>
        <v>6500</v>
      </c>
      <c r="N98" s="438">
        <f t="shared" si="14"/>
        <v>0</v>
      </c>
      <c r="O98" s="415">
        <v>0</v>
      </c>
      <c r="P98" s="415">
        <v>0</v>
      </c>
      <c r="Q98" s="443">
        <f>Budget_VROA_2024!B59</f>
        <v>0</v>
      </c>
      <c r="R98" s="438">
        <f t="shared" si="21"/>
        <v>32500</v>
      </c>
      <c r="S98" s="415">
        <v>0</v>
      </c>
      <c r="T98" s="415">
        <v>0</v>
      </c>
      <c r="U98" s="443">
        <v>32500</v>
      </c>
      <c r="V98" s="438">
        <f t="shared" si="22"/>
        <v>0</v>
      </c>
      <c r="W98" s="415">
        <v>0</v>
      </c>
      <c r="X98" s="415">
        <v>0</v>
      </c>
      <c r="Y98" s="443">
        <v>0</v>
      </c>
    </row>
    <row r="99" spans="1:26" ht="12.75" customHeight="1" x14ac:dyDescent="0.25">
      <c r="A99" s="414" t="s">
        <v>161</v>
      </c>
      <c r="B99" s="440">
        <v>0</v>
      </c>
      <c r="C99" s="417">
        <v>0</v>
      </c>
      <c r="D99" s="417">
        <v>0</v>
      </c>
      <c r="E99" s="444">
        <v>0</v>
      </c>
      <c r="F99" s="438">
        <v>7000</v>
      </c>
      <c r="G99" s="417">
        <v>0</v>
      </c>
      <c r="H99" s="417">
        <v>0</v>
      </c>
      <c r="I99" s="443">
        <v>7000</v>
      </c>
      <c r="J99" s="438">
        <f t="shared" si="13"/>
        <v>9000</v>
      </c>
      <c r="K99" s="415">
        <v>0</v>
      </c>
      <c r="L99" s="415">
        <v>0</v>
      </c>
      <c r="M99" s="443">
        <f>Budget_VROA_2023!B59</f>
        <v>9000</v>
      </c>
      <c r="N99" s="438">
        <f t="shared" si="14"/>
        <v>10200</v>
      </c>
      <c r="O99" s="415">
        <v>0</v>
      </c>
      <c r="P99" s="415">
        <v>0</v>
      </c>
      <c r="Q99" s="443">
        <f>Budget_VROA_2024!B60</f>
        <v>10200</v>
      </c>
      <c r="R99" s="438">
        <f t="shared" si="21"/>
        <v>10700</v>
      </c>
      <c r="S99" s="415">
        <v>0</v>
      </c>
      <c r="T99" s="415">
        <v>0</v>
      </c>
      <c r="U99" s="443">
        <v>10700</v>
      </c>
      <c r="V99" s="438">
        <f t="shared" si="22"/>
        <v>12000</v>
      </c>
      <c r="W99" s="415">
        <v>0</v>
      </c>
      <c r="X99" s="415">
        <v>0</v>
      </c>
      <c r="Y99" s="443">
        <v>12000</v>
      </c>
    </row>
    <row r="100" spans="1:26" ht="12.75" customHeight="1" x14ac:dyDescent="0.25">
      <c r="A100" s="414" t="s">
        <v>1043</v>
      </c>
      <c r="B100" s="440"/>
      <c r="C100" s="417"/>
      <c r="D100" s="417"/>
      <c r="E100" s="444"/>
      <c r="F100" s="438"/>
      <c r="G100" s="417"/>
      <c r="H100" s="417"/>
      <c r="I100" s="443"/>
      <c r="J100" s="438"/>
      <c r="K100" s="415"/>
      <c r="L100" s="415"/>
      <c r="M100" s="443"/>
      <c r="N100" s="438">
        <f t="shared" si="14"/>
        <v>0</v>
      </c>
      <c r="O100" s="415">
        <v>0</v>
      </c>
      <c r="P100" s="415">
        <v>0</v>
      </c>
      <c r="Q100" s="443">
        <v>0</v>
      </c>
      <c r="R100" s="438">
        <f t="shared" si="21"/>
        <v>4500</v>
      </c>
      <c r="S100" s="415">
        <v>0</v>
      </c>
      <c r="T100" s="415">
        <v>0</v>
      </c>
      <c r="U100" s="443">
        <v>4500</v>
      </c>
      <c r="V100" s="438">
        <f t="shared" si="22"/>
        <v>4500</v>
      </c>
      <c r="W100" s="415">
        <v>0</v>
      </c>
      <c r="X100" s="415">
        <v>0</v>
      </c>
      <c r="Y100" s="443">
        <v>4500</v>
      </c>
    </row>
    <row r="101" spans="1:26" ht="12.75" customHeight="1" x14ac:dyDescent="0.25">
      <c r="A101" s="414" t="s">
        <v>162</v>
      </c>
      <c r="B101" s="438">
        <v>10200</v>
      </c>
      <c r="C101" s="417">
        <v>0</v>
      </c>
      <c r="D101" s="417">
        <v>0</v>
      </c>
      <c r="E101" s="443">
        <v>10200</v>
      </c>
      <c r="F101" s="438">
        <v>17600</v>
      </c>
      <c r="G101" s="417">
        <v>0</v>
      </c>
      <c r="H101" s="417">
        <v>0</v>
      </c>
      <c r="I101" s="443">
        <v>17600</v>
      </c>
      <c r="J101" s="438">
        <f t="shared" si="13"/>
        <v>27000</v>
      </c>
      <c r="K101" s="415">
        <v>0</v>
      </c>
      <c r="L101" s="415">
        <v>0</v>
      </c>
      <c r="M101" s="443">
        <f>Budget_VROA_2023!B63</f>
        <v>27000</v>
      </c>
      <c r="N101" s="438">
        <f t="shared" si="14"/>
        <v>24500</v>
      </c>
      <c r="O101" s="415">
        <v>0</v>
      </c>
      <c r="P101" s="415">
        <v>0</v>
      </c>
      <c r="Q101" s="443">
        <f>Budget_VROA_2024!B64</f>
        <v>24500</v>
      </c>
      <c r="R101" s="438">
        <f t="shared" si="21"/>
        <v>25725</v>
      </c>
      <c r="S101" s="415">
        <v>0</v>
      </c>
      <c r="T101" s="415">
        <v>0</v>
      </c>
      <c r="U101" s="443">
        <v>25725</v>
      </c>
      <c r="V101" s="438">
        <f t="shared" si="22"/>
        <v>28500</v>
      </c>
      <c r="W101" s="415">
        <v>0</v>
      </c>
      <c r="X101" s="415">
        <v>0</v>
      </c>
      <c r="Y101" s="443">
        <v>28500</v>
      </c>
    </row>
    <row r="102" spans="1:26" ht="12.75" customHeight="1" x14ac:dyDescent="0.25">
      <c r="A102" s="414" t="s">
        <v>163</v>
      </c>
      <c r="B102" s="440">
        <v>0</v>
      </c>
      <c r="C102" s="417">
        <v>0</v>
      </c>
      <c r="D102" s="417">
        <v>0</v>
      </c>
      <c r="E102" s="444">
        <v>0</v>
      </c>
      <c r="F102" s="440">
        <v>0</v>
      </c>
      <c r="G102" s="417">
        <v>0</v>
      </c>
      <c r="H102" s="417">
        <v>0</v>
      </c>
      <c r="I102" s="444">
        <v>0</v>
      </c>
      <c r="J102" s="438">
        <f t="shared" si="13"/>
        <v>4000</v>
      </c>
      <c r="K102" s="415">
        <v>0</v>
      </c>
      <c r="L102" s="415">
        <v>0</v>
      </c>
      <c r="M102" s="443">
        <f>Budget_VROA_2023!G73</f>
        <v>4000</v>
      </c>
      <c r="N102" s="438">
        <f t="shared" si="14"/>
        <v>4000</v>
      </c>
      <c r="O102" s="415">
        <v>0</v>
      </c>
      <c r="P102" s="415">
        <v>0</v>
      </c>
      <c r="Q102" s="443">
        <f>Budget_VROA_2024!B70</f>
        <v>4000</v>
      </c>
      <c r="R102" s="438">
        <f t="shared" si="21"/>
        <v>5000</v>
      </c>
      <c r="S102" s="415">
        <v>0</v>
      </c>
      <c r="T102" s="415">
        <v>0</v>
      </c>
      <c r="U102" s="443">
        <v>5000</v>
      </c>
      <c r="V102" s="438">
        <f t="shared" si="22"/>
        <v>17250</v>
      </c>
      <c r="W102" s="415">
        <v>0</v>
      </c>
      <c r="X102" s="415">
        <v>0</v>
      </c>
      <c r="Y102" s="443">
        <f>250+12000+5000</f>
        <v>17250</v>
      </c>
    </row>
    <row r="103" spans="1:26" ht="12.75" customHeight="1" x14ac:dyDescent="0.25">
      <c r="A103" s="414" t="s">
        <v>164</v>
      </c>
      <c r="B103" s="438">
        <v>57000</v>
      </c>
      <c r="C103" s="417">
        <v>0</v>
      </c>
      <c r="D103" s="415">
        <v>20000</v>
      </c>
      <c r="E103" s="443">
        <v>37000</v>
      </c>
      <c r="F103" s="438">
        <v>180200</v>
      </c>
      <c r="G103" s="417">
        <v>0</v>
      </c>
      <c r="H103" s="415">
        <v>20200</v>
      </c>
      <c r="I103" s="443">
        <v>160000</v>
      </c>
      <c r="J103" s="438">
        <f t="shared" si="13"/>
        <v>36582</v>
      </c>
      <c r="K103" s="415">
        <v>0</v>
      </c>
      <c r="L103" s="415">
        <f>Budget_CfgOA_2023!S71</f>
        <v>22952</v>
      </c>
      <c r="M103" s="443">
        <f>Budget_VROA_2023!B62</f>
        <v>13630</v>
      </c>
      <c r="N103" s="438">
        <f t="shared" si="14"/>
        <v>44743.75</v>
      </c>
      <c r="O103" s="415">
        <v>0</v>
      </c>
      <c r="P103" s="415">
        <f>Budget_CfgOA_2024!D60</f>
        <v>15000</v>
      </c>
      <c r="Q103" s="443">
        <f>Budget_VROA_2024!B63</f>
        <v>29743.75</v>
      </c>
      <c r="R103" s="438">
        <f t="shared" si="21"/>
        <v>44300</v>
      </c>
      <c r="S103" s="415">
        <v>0</v>
      </c>
      <c r="T103" s="415">
        <v>15000</v>
      </c>
      <c r="U103" s="443">
        <v>29300</v>
      </c>
      <c r="V103" s="438">
        <f t="shared" si="22"/>
        <v>65650</v>
      </c>
      <c r="W103" s="415">
        <v>0</v>
      </c>
      <c r="X103" s="415">
        <v>15000</v>
      </c>
      <c r="Y103" s="443">
        <v>50650</v>
      </c>
    </row>
    <row r="104" spans="1:26" ht="12.75" customHeight="1" x14ac:dyDescent="0.25">
      <c r="A104" s="414" t="s">
        <v>1050</v>
      </c>
      <c r="B104" s="438">
        <v>70000</v>
      </c>
      <c r="C104" s="417">
        <v>0</v>
      </c>
      <c r="D104" s="415">
        <v>70000</v>
      </c>
      <c r="E104" s="444">
        <v>0</v>
      </c>
      <c r="F104" s="438">
        <v>70700</v>
      </c>
      <c r="G104" s="417">
        <v>0</v>
      </c>
      <c r="H104" s="415">
        <v>70700</v>
      </c>
      <c r="I104" s="444">
        <v>0</v>
      </c>
      <c r="J104" s="438">
        <f t="shared" si="13"/>
        <v>152500</v>
      </c>
      <c r="K104" s="424">
        <v>0</v>
      </c>
      <c r="L104" s="415">
        <f>Budget_CfgOA_2023!S79</f>
        <v>100000</v>
      </c>
      <c r="M104" s="443">
        <f>Budget_VROA_2023!G72</f>
        <v>52500</v>
      </c>
      <c r="N104" s="438">
        <f t="shared" si="14"/>
        <v>70000</v>
      </c>
      <c r="O104" s="424">
        <v>0</v>
      </c>
      <c r="P104" s="415">
        <f>Budget_CfgOA_2024!D67</f>
        <v>70000</v>
      </c>
      <c r="Q104" s="443">
        <v>0</v>
      </c>
      <c r="R104" s="438">
        <f t="shared" si="21"/>
        <v>50000</v>
      </c>
      <c r="S104" s="415">
        <v>0</v>
      </c>
      <c r="T104" s="415">
        <v>50000</v>
      </c>
      <c r="U104" s="443">
        <v>0</v>
      </c>
      <c r="V104" s="438">
        <f t="shared" si="22"/>
        <v>49500</v>
      </c>
      <c r="W104" s="415">
        <v>0</v>
      </c>
      <c r="X104" s="415">
        <v>40000</v>
      </c>
      <c r="Y104" s="443">
        <v>9500</v>
      </c>
      <c r="Z104" s="420"/>
    </row>
    <row r="105" spans="1:26" ht="12.75" customHeight="1" x14ac:dyDescent="0.25">
      <c r="A105" s="414" t="s">
        <v>165</v>
      </c>
      <c r="B105" s="438">
        <v>20000</v>
      </c>
      <c r="C105" s="417">
        <v>0</v>
      </c>
      <c r="D105" s="415">
        <v>20000</v>
      </c>
      <c r="E105" s="444">
        <v>0</v>
      </c>
      <c r="F105" s="438">
        <v>20200</v>
      </c>
      <c r="G105" s="417">
        <v>0</v>
      </c>
      <c r="H105" s="415">
        <v>20200</v>
      </c>
      <c r="I105" s="444">
        <v>0</v>
      </c>
      <c r="J105" s="438">
        <f t="shared" si="13"/>
        <v>10202</v>
      </c>
      <c r="K105" s="415">
        <v>0</v>
      </c>
      <c r="L105" s="415">
        <f>Budget_CfgOA_2023!S80</f>
        <v>10202</v>
      </c>
      <c r="M105" s="443">
        <v>0</v>
      </c>
      <c r="N105" s="438">
        <f t="shared" si="14"/>
        <v>10641</v>
      </c>
      <c r="O105" s="415">
        <v>0</v>
      </c>
      <c r="P105" s="415">
        <f>Budget_CfgOA_2024!D68</f>
        <v>10641</v>
      </c>
      <c r="Q105" s="443">
        <v>0</v>
      </c>
      <c r="R105" s="438">
        <f t="shared" si="21"/>
        <v>15449</v>
      </c>
      <c r="S105" s="415">
        <v>0</v>
      </c>
      <c r="T105" s="415">
        <v>11099</v>
      </c>
      <c r="U105" s="443">
        <v>4350</v>
      </c>
      <c r="V105" s="438">
        <f t="shared" si="22"/>
        <v>11576</v>
      </c>
      <c r="W105" s="415">
        <v>0</v>
      </c>
      <c r="X105" s="415">
        <v>11576</v>
      </c>
      <c r="Y105" s="443">
        <v>0</v>
      </c>
    </row>
    <row r="106" spans="1:26" ht="12.75" customHeight="1" x14ac:dyDescent="0.25">
      <c r="A106" s="414" t="s">
        <v>166</v>
      </c>
      <c r="B106" s="438">
        <v>11500</v>
      </c>
      <c r="C106" s="417">
        <v>0</v>
      </c>
      <c r="D106" s="415">
        <v>1500</v>
      </c>
      <c r="E106" s="443">
        <v>10000</v>
      </c>
      <c r="F106" s="438">
        <v>53560</v>
      </c>
      <c r="G106" s="417">
        <v>0</v>
      </c>
      <c r="H106" s="417">
        <v>0</v>
      </c>
      <c r="I106" s="443">
        <v>53560</v>
      </c>
      <c r="J106" s="438">
        <f t="shared" si="13"/>
        <v>10000</v>
      </c>
      <c r="K106" s="415">
        <v>0</v>
      </c>
      <c r="L106" s="415">
        <f>Budget_CfgOA_2023!S72</f>
        <v>0</v>
      </c>
      <c r="M106" s="443">
        <f>Budget_VROA_2023!B60</f>
        <v>10000</v>
      </c>
      <c r="N106" s="438">
        <f t="shared" si="14"/>
        <v>61300</v>
      </c>
      <c r="O106" s="415">
        <v>0</v>
      </c>
      <c r="P106" s="415">
        <v>0</v>
      </c>
      <c r="Q106" s="443">
        <f>Budget_VROA_2024!B61</f>
        <v>61300</v>
      </c>
      <c r="R106" s="438">
        <f t="shared" si="21"/>
        <v>50000</v>
      </c>
      <c r="S106" s="415">
        <v>0</v>
      </c>
      <c r="T106" s="415">
        <v>0</v>
      </c>
      <c r="U106" s="443">
        <v>50000</v>
      </c>
      <c r="V106" s="438">
        <f t="shared" si="22"/>
        <v>55000</v>
      </c>
      <c r="W106" s="415">
        <v>0</v>
      </c>
      <c r="X106" s="415">
        <v>0</v>
      </c>
      <c r="Y106" s="443">
        <v>55000</v>
      </c>
    </row>
    <row r="107" spans="1:26" ht="12.75" customHeight="1" x14ac:dyDescent="0.25">
      <c r="A107" s="414" t="s">
        <v>167</v>
      </c>
      <c r="B107" s="438">
        <v>9500</v>
      </c>
      <c r="C107" s="417">
        <v>0</v>
      </c>
      <c r="D107" s="415">
        <v>0</v>
      </c>
      <c r="E107" s="443">
        <v>9500</v>
      </c>
      <c r="F107" s="438">
        <v>20720</v>
      </c>
      <c r="G107" s="417">
        <v>0</v>
      </c>
      <c r="H107" s="415">
        <v>0</v>
      </c>
      <c r="I107" s="443">
        <v>20720</v>
      </c>
      <c r="J107" s="438">
        <f t="shared" si="13"/>
        <v>32720</v>
      </c>
      <c r="K107" s="415">
        <v>0</v>
      </c>
      <c r="L107" s="415">
        <v>0</v>
      </c>
      <c r="M107" s="443">
        <f>Budget_VROA_2023!B72+Budget_VROA_2023!B73</f>
        <v>32720</v>
      </c>
      <c r="N107" s="438">
        <f t="shared" si="14"/>
        <v>22824.669000000002</v>
      </c>
      <c r="O107" s="415">
        <v>0</v>
      </c>
      <c r="P107" s="415">
        <v>0</v>
      </c>
      <c r="Q107" s="443">
        <f>Budget_VROA_2024!B73+Budget_VROA_2024!B74</f>
        <v>22824.669000000002</v>
      </c>
      <c r="R107" s="438">
        <f t="shared" si="21"/>
        <v>22500</v>
      </c>
      <c r="S107" s="415">
        <v>0</v>
      </c>
      <c r="T107" s="415">
        <v>0</v>
      </c>
      <c r="U107" s="443">
        <v>22500</v>
      </c>
      <c r="V107" s="438">
        <f t="shared" si="22"/>
        <v>18600</v>
      </c>
      <c r="W107" s="415">
        <v>0</v>
      </c>
      <c r="X107" s="415">
        <v>0</v>
      </c>
      <c r="Y107" s="443">
        <f>2100+16500</f>
        <v>18600</v>
      </c>
    </row>
    <row r="108" spans="1:26" ht="12.75" customHeight="1" x14ac:dyDescent="0.25">
      <c r="A108" s="414" t="s">
        <v>169</v>
      </c>
      <c r="B108" s="438">
        <v>13000</v>
      </c>
      <c r="C108" s="417">
        <v>0</v>
      </c>
      <c r="D108" s="415">
        <v>10000</v>
      </c>
      <c r="E108" s="443">
        <v>3000</v>
      </c>
      <c r="F108" s="438">
        <v>221250</v>
      </c>
      <c r="G108" s="417">
        <v>0</v>
      </c>
      <c r="H108" s="415">
        <v>215000</v>
      </c>
      <c r="I108" s="443">
        <v>6250</v>
      </c>
      <c r="J108" s="438">
        <f t="shared" si="13"/>
        <v>30400</v>
      </c>
      <c r="K108" s="415">
        <v>0</v>
      </c>
      <c r="L108" s="415">
        <f>Budget_CfgOA_2023!S73</f>
        <v>20000</v>
      </c>
      <c r="M108" s="443">
        <f>Budget_VROA_2023!B61+Budget_VROA_2023!B65+Budget_VROA_2023!B66+Budget_VROA_2023!B67</f>
        <v>10400</v>
      </c>
      <c r="N108" s="438">
        <f t="shared" si="14"/>
        <v>59500</v>
      </c>
      <c r="O108" s="415">
        <v>0</v>
      </c>
      <c r="P108" s="415">
        <f>Budget_CfgOA_2024!D61</f>
        <v>50000</v>
      </c>
      <c r="Q108" s="443">
        <f>Budget_VROA_2024!B68</f>
        <v>9500</v>
      </c>
      <c r="R108" s="438">
        <f t="shared" si="21"/>
        <v>25100</v>
      </c>
      <c r="S108" s="415">
        <v>0</v>
      </c>
      <c r="T108" s="415">
        <v>10000</v>
      </c>
      <c r="U108" s="443">
        <v>15100</v>
      </c>
      <c r="V108" s="438">
        <f t="shared" si="22"/>
        <v>22000</v>
      </c>
      <c r="W108" s="415">
        <v>0</v>
      </c>
      <c r="X108" s="415">
        <v>10000</v>
      </c>
      <c r="Y108" s="443">
        <v>12000</v>
      </c>
    </row>
    <row r="109" spans="1:26" ht="12.75" customHeight="1" x14ac:dyDescent="0.25">
      <c r="A109" s="414" t="s">
        <v>1042</v>
      </c>
      <c r="B109" s="438">
        <v>14800</v>
      </c>
      <c r="C109" s="417">
        <v>0</v>
      </c>
      <c r="D109" s="415">
        <v>5000</v>
      </c>
      <c r="E109" s="443">
        <v>9800</v>
      </c>
      <c r="F109" s="438">
        <v>5050</v>
      </c>
      <c r="G109" s="417">
        <v>0</v>
      </c>
      <c r="H109" s="415">
        <v>5050</v>
      </c>
      <c r="I109" s="444">
        <v>0</v>
      </c>
      <c r="J109" s="438">
        <f t="shared" si="13"/>
        <v>8601</v>
      </c>
      <c r="K109" s="415">
        <v>0</v>
      </c>
      <c r="L109" s="415">
        <f>Budget_CfgOA_2023!S74</f>
        <v>5101</v>
      </c>
      <c r="M109" s="443">
        <f>Budget_VROA_2023!B56</f>
        <v>3500</v>
      </c>
      <c r="N109" s="438">
        <f t="shared" si="14"/>
        <v>20000</v>
      </c>
      <c r="O109" s="415">
        <v>0</v>
      </c>
      <c r="P109" s="415">
        <f>Budget_CfgOA_2024!D62</f>
        <v>20000</v>
      </c>
      <c r="Q109" s="443">
        <f>Budget_VROA_2024!B71</f>
        <v>0</v>
      </c>
      <c r="R109" s="438">
        <f t="shared" si="21"/>
        <v>20000</v>
      </c>
      <c r="S109" s="415">
        <v>0</v>
      </c>
      <c r="T109" s="415">
        <v>20000</v>
      </c>
      <c r="U109" s="443">
        <v>0</v>
      </c>
      <c r="V109" s="438">
        <f t="shared" si="22"/>
        <v>15000</v>
      </c>
      <c r="W109" s="415">
        <v>0</v>
      </c>
      <c r="X109" s="415">
        <v>15000</v>
      </c>
      <c r="Y109" s="443">
        <v>0</v>
      </c>
    </row>
    <row r="110" spans="1:26" ht="12.75" customHeight="1" x14ac:dyDescent="0.25">
      <c r="A110" s="414" t="s">
        <v>1037</v>
      </c>
      <c r="B110" s="438">
        <v>8000</v>
      </c>
      <c r="C110" s="417">
        <v>0</v>
      </c>
      <c r="D110" s="415">
        <v>4500</v>
      </c>
      <c r="E110" s="443">
        <v>3500</v>
      </c>
      <c r="F110" s="438">
        <v>7545</v>
      </c>
      <c r="G110" s="417">
        <v>0</v>
      </c>
      <c r="H110" s="415">
        <v>4545</v>
      </c>
      <c r="I110" s="443">
        <v>3000</v>
      </c>
      <c r="J110" s="438">
        <f t="shared" si="13"/>
        <v>8090</v>
      </c>
      <c r="K110" s="415">
        <v>0</v>
      </c>
      <c r="L110" s="415">
        <f>Budget_CfgOA_2023!S76</f>
        <v>4590</v>
      </c>
      <c r="M110" s="443">
        <f>Budget_VROA_2023!B68</f>
        <v>3500</v>
      </c>
      <c r="N110" s="438">
        <f t="shared" si="14"/>
        <v>4000</v>
      </c>
      <c r="O110" s="415">
        <v>0</v>
      </c>
      <c r="P110" s="415">
        <f>Budget_CfgOA_2024!D64</f>
        <v>1500</v>
      </c>
      <c r="Q110" s="443">
        <f>Budget_VROA_2024!B69</f>
        <v>2500</v>
      </c>
      <c r="R110" s="438">
        <f t="shared" si="21"/>
        <v>4100</v>
      </c>
      <c r="S110" s="415">
        <v>0</v>
      </c>
      <c r="T110" s="415">
        <v>1500</v>
      </c>
      <c r="U110" s="443">
        <v>2600</v>
      </c>
      <c r="V110" s="438">
        <f t="shared" si="22"/>
        <v>3000</v>
      </c>
      <c r="W110" s="415">
        <v>0</v>
      </c>
      <c r="X110" s="415">
        <v>0</v>
      </c>
      <c r="Y110" s="443">
        <v>3000</v>
      </c>
    </row>
    <row r="111" spans="1:26" ht="12.75" customHeight="1" x14ac:dyDescent="0.25">
      <c r="A111" s="414" t="s">
        <v>171</v>
      </c>
      <c r="B111" s="438">
        <v>45000</v>
      </c>
      <c r="C111" s="417">
        <v>0</v>
      </c>
      <c r="D111" s="415">
        <v>45000</v>
      </c>
      <c r="E111" s="444">
        <v>0</v>
      </c>
      <c r="F111" s="438">
        <v>45450</v>
      </c>
      <c r="G111" s="417">
        <v>0</v>
      </c>
      <c r="H111" s="415">
        <v>45450</v>
      </c>
      <c r="I111" s="444">
        <v>0</v>
      </c>
      <c r="J111" s="438">
        <f t="shared" si="13"/>
        <v>45905</v>
      </c>
      <c r="K111" s="415">
        <v>0</v>
      </c>
      <c r="L111" s="415">
        <f>Budget_CfgOA_2023!S75</f>
        <v>45905</v>
      </c>
      <c r="M111" s="443">
        <v>0</v>
      </c>
      <c r="N111" s="438">
        <f t="shared" si="14"/>
        <v>60000</v>
      </c>
      <c r="O111" s="415">
        <v>0</v>
      </c>
      <c r="P111" s="415">
        <f>Budget_CfgOA_2024!D63</f>
        <v>60000</v>
      </c>
      <c r="Q111" s="443">
        <v>0</v>
      </c>
      <c r="R111" s="438">
        <f t="shared" si="21"/>
        <v>45000</v>
      </c>
      <c r="S111" s="415">
        <v>0</v>
      </c>
      <c r="T111" s="415">
        <v>45000</v>
      </c>
      <c r="U111" s="443">
        <v>0</v>
      </c>
      <c r="V111" s="438">
        <f t="shared" si="22"/>
        <v>36505</v>
      </c>
      <c r="W111" s="415">
        <v>0</v>
      </c>
      <c r="X111" s="415">
        <v>36505</v>
      </c>
      <c r="Y111" s="443">
        <v>0</v>
      </c>
    </row>
    <row r="112" spans="1:26" ht="12.75" customHeight="1" x14ac:dyDescent="0.25">
      <c r="A112" s="414" t="s">
        <v>172</v>
      </c>
      <c r="B112" s="438">
        <v>20000</v>
      </c>
      <c r="C112" s="417">
        <v>0</v>
      </c>
      <c r="D112" s="415">
        <v>20000</v>
      </c>
      <c r="E112" s="444">
        <v>0</v>
      </c>
      <c r="F112" s="438">
        <v>20200</v>
      </c>
      <c r="G112" s="417">
        <v>0</v>
      </c>
      <c r="H112" s="417">
        <v>20200</v>
      </c>
      <c r="I112" s="444">
        <v>0</v>
      </c>
      <c r="J112" s="438">
        <f t="shared" si="13"/>
        <v>21702</v>
      </c>
      <c r="K112" s="415">
        <v>0</v>
      </c>
      <c r="L112" s="415">
        <f>Budget_CfgOA_2023!S77</f>
        <v>20402</v>
      </c>
      <c r="M112" s="443">
        <f>Budget_VROA_2023!B69</f>
        <v>1300</v>
      </c>
      <c r="N112" s="438">
        <f t="shared" si="14"/>
        <v>21279</v>
      </c>
      <c r="O112" s="415">
        <v>0</v>
      </c>
      <c r="P112" s="415">
        <f>Budget_CfgOA_2024!D65</f>
        <v>21279</v>
      </c>
      <c r="Q112" s="443">
        <v>0</v>
      </c>
      <c r="R112" s="438">
        <f t="shared" si="21"/>
        <v>13000</v>
      </c>
      <c r="S112" s="415">
        <v>0</v>
      </c>
      <c r="T112" s="415">
        <v>13000</v>
      </c>
      <c r="U112" s="443">
        <v>0</v>
      </c>
      <c r="V112" s="438">
        <f t="shared" si="22"/>
        <v>0</v>
      </c>
      <c r="W112" s="415">
        <v>0</v>
      </c>
      <c r="X112" s="415">
        <v>0</v>
      </c>
      <c r="Y112" s="443">
        <v>0</v>
      </c>
    </row>
    <row r="113" spans="1:32" ht="12.75" customHeight="1" x14ac:dyDescent="0.25">
      <c r="A113" s="414" t="s">
        <v>173</v>
      </c>
      <c r="B113" s="438">
        <v>15000</v>
      </c>
      <c r="C113" s="417">
        <v>0</v>
      </c>
      <c r="D113" s="415">
        <v>15000</v>
      </c>
      <c r="E113" s="444">
        <v>0</v>
      </c>
      <c r="F113" s="440">
        <v>0</v>
      </c>
      <c r="G113" s="417">
        <v>0</v>
      </c>
      <c r="H113" s="417">
        <v>0</v>
      </c>
      <c r="I113" s="444">
        <v>0</v>
      </c>
      <c r="J113" s="438">
        <f t="shared" si="13"/>
        <v>5000</v>
      </c>
      <c r="K113" s="415">
        <v>0</v>
      </c>
      <c r="L113" s="415">
        <f>Budget_CfgOA_2023!S78</f>
        <v>5000</v>
      </c>
      <c r="M113" s="443">
        <v>0</v>
      </c>
      <c r="N113" s="438">
        <f t="shared" si="14"/>
        <v>2500</v>
      </c>
      <c r="O113" s="415">
        <v>0</v>
      </c>
      <c r="P113" s="415">
        <f>Budget_CfgOA_2024!D66</f>
        <v>2500</v>
      </c>
      <c r="Q113" s="443">
        <v>0</v>
      </c>
      <c r="R113" s="438">
        <f t="shared" si="21"/>
        <v>2500</v>
      </c>
      <c r="S113" s="415">
        <v>0</v>
      </c>
      <c r="T113" s="415">
        <v>2500</v>
      </c>
      <c r="U113" s="443">
        <v>0</v>
      </c>
      <c r="V113" s="438">
        <f t="shared" si="22"/>
        <v>1000</v>
      </c>
      <c r="W113" s="415">
        <v>0</v>
      </c>
      <c r="X113" s="415">
        <v>1000</v>
      </c>
      <c r="Y113" s="443">
        <v>0</v>
      </c>
    </row>
    <row r="114" spans="1:32" ht="12.75" customHeight="1" x14ac:dyDescent="0.25">
      <c r="A114" s="414" t="s">
        <v>174</v>
      </c>
      <c r="B114" s="438">
        <v>70000</v>
      </c>
      <c r="C114" s="417">
        <v>0</v>
      </c>
      <c r="D114" s="417">
        <v>0</v>
      </c>
      <c r="E114" s="443">
        <v>70000</v>
      </c>
      <c r="F114" s="438">
        <v>64300</v>
      </c>
      <c r="G114" s="417">
        <v>0</v>
      </c>
      <c r="H114" s="417">
        <v>0</v>
      </c>
      <c r="I114" s="443">
        <v>64300</v>
      </c>
      <c r="J114" s="438">
        <f t="shared" si="13"/>
        <v>27000</v>
      </c>
      <c r="K114" s="415">
        <v>0</v>
      </c>
      <c r="L114" s="415">
        <v>0</v>
      </c>
      <c r="M114" s="443">
        <f>Budget_VROA_2023!G71</f>
        <v>27000</v>
      </c>
      <c r="N114" s="438">
        <f t="shared" si="14"/>
        <v>73476</v>
      </c>
      <c r="O114" s="415">
        <v>0</v>
      </c>
      <c r="P114" s="415">
        <v>0</v>
      </c>
      <c r="Q114" s="443">
        <f>Budget_VROA_2024!B72</f>
        <v>73476</v>
      </c>
      <c r="R114" s="438">
        <f t="shared" si="21"/>
        <v>90318</v>
      </c>
      <c r="S114" s="415">
        <v>0</v>
      </c>
      <c r="T114" s="415">
        <v>0</v>
      </c>
      <c r="U114" s="443">
        <v>90318</v>
      </c>
      <c r="V114" s="438">
        <f t="shared" si="22"/>
        <v>10500</v>
      </c>
      <c r="W114" s="415">
        <v>0</v>
      </c>
      <c r="X114" s="415">
        <v>0</v>
      </c>
      <c r="Y114" s="443">
        <v>10500</v>
      </c>
    </row>
    <row r="115" spans="1:32" ht="12.75" customHeight="1" x14ac:dyDescent="0.25">
      <c r="A115" s="414" t="s">
        <v>175</v>
      </c>
      <c r="B115" s="438">
        <v>20000</v>
      </c>
      <c r="C115" s="417">
        <v>0</v>
      </c>
      <c r="D115" s="415">
        <v>20000</v>
      </c>
      <c r="E115" s="444">
        <v>0</v>
      </c>
      <c r="F115" s="438">
        <v>20200</v>
      </c>
      <c r="G115" s="417">
        <v>0</v>
      </c>
      <c r="H115" s="415">
        <v>20200</v>
      </c>
      <c r="I115" s="444">
        <v>0</v>
      </c>
      <c r="J115" s="438">
        <f t="shared" si="13"/>
        <v>5000</v>
      </c>
      <c r="K115" s="415">
        <v>0</v>
      </c>
      <c r="L115" s="415">
        <f>Budget_CfgOA_2023!S81</f>
        <v>5000</v>
      </c>
      <c r="M115" s="443">
        <v>0</v>
      </c>
      <c r="N115" s="438">
        <f t="shared" si="14"/>
        <v>5000</v>
      </c>
      <c r="O115" s="415">
        <v>0</v>
      </c>
      <c r="P115" s="415">
        <f>Budget_CfgOA_2024!D69</f>
        <v>5000</v>
      </c>
      <c r="Q115" s="443">
        <v>0</v>
      </c>
      <c r="R115" s="438">
        <f t="shared" si="21"/>
        <v>5000</v>
      </c>
      <c r="S115" s="415">
        <v>0</v>
      </c>
      <c r="T115" s="415">
        <v>5000</v>
      </c>
      <c r="U115" s="443">
        <v>0</v>
      </c>
      <c r="V115" s="438">
        <f t="shared" si="22"/>
        <v>10500</v>
      </c>
      <c r="W115" s="415">
        <v>0</v>
      </c>
      <c r="X115" s="415">
        <v>10500</v>
      </c>
      <c r="Y115" s="443">
        <v>0</v>
      </c>
    </row>
    <row r="116" spans="1:32" ht="11.7" hidden="1" customHeight="1" x14ac:dyDescent="0.25">
      <c r="A116" s="418"/>
      <c r="B116" s="441"/>
      <c r="C116" s="418"/>
      <c r="D116" s="418"/>
      <c r="E116" s="445"/>
      <c r="F116" s="441"/>
      <c r="G116" s="418"/>
      <c r="H116" s="418"/>
      <c r="I116" s="445"/>
      <c r="J116" s="470"/>
      <c r="K116" s="423"/>
      <c r="L116" s="423"/>
      <c r="M116" s="471"/>
      <c r="N116" s="470"/>
      <c r="O116" s="423"/>
      <c r="P116" s="423"/>
      <c r="Q116" s="471"/>
      <c r="R116" s="470"/>
      <c r="S116" s="423"/>
      <c r="T116" s="423"/>
      <c r="U116" s="471"/>
      <c r="V116" s="470"/>
      <c r="W116" s="423"/>
      <c r="X116" s="423"/>
      <c r="Y116" s="471"/>
    </row>
    <row r="117" spans="1:32" ht="12.75" customHeight="1" x14ac:dyDescent="0.25">
      <c r="A117" s="411" t="s">
        <v>176</v>
      </c>
      <c r="B117" s="436">
        <v>12900</v>
      </c>
      <c r="C117" s="412">
        <v>8900</v>
      </c>
      <c r="D117" s="412">
        <v>4000</v>
      </c>
      <c r="E117" s="451">
        <v>0</v>
      </c>
      <c r="F117" s="436">
        <v>13340</v>
      </c>
      <c r="G117" s="412">
        <v>9300</v>
      </c>
      <c r="H117" s="412">
        <v>4040</v>
      </c>
      <c r="I117" s="451">
        <v>0</v>
      </c>
      <c r="J117" s="436">
        <f t="shared" si="13"/>
        <v>13380</v>
      </c>
      <c r="K117" s="412">
        <f>SUM(K118:K120)</f>
        <v>9300</v>
      </c>
      <c r="L117" s="412">
        <f>SUM(L119:L120)</f>
        <v>4080</v>
      </c>
      <c r="M117" s="442">
        <f>SUM(M118:M119)</f>
        <v>0</v>
      </c>
      <c r="N117" s="436">
        <f t="shared" si="14"/>
        <v>13555</v>
      </c>
      <c r="O117" s="412">
        <f>SUM(O118:O119)</f>
        <v>9300</v>
      </c>
      <c r="P117" s="412">
        <f>SUM(P119:P120)</f>
        <v>4255</v>
      </c>
      <c r="Q117" s="442">
        <f>SUM(Q118:Q119)</f>
        <v>0</v>
      </c>
      <c r="R117" s="436">
        <f t="shared" ref="R117:R119" si="23">SUM(S117:U117)</f>
        <v>13600</v>
      </c>
      <c r="S117" s="412">
        <f>SUM(S118:S119)</f>
        <v>9600</v>
      </c>
      <c r="T117" s="412">
        <f>SUM(T119:T120)</f>
        <v>4000</v>
      </c>
      <c r="U117" s="442">
        <f>SUM(U118:U119)</f>
        <v>0</v>
      </c>
      <c r="V117" s="436">
        <f t="shared" ref="V117:V119" si="24">SUM(W117:Y117)</f>
        <v>13600</v>
      </c>
      <c r="W117" s="412">
        <f>SUM(W118:W119)</f>
        <v>9600</v>
      </c>
      <c r="X117" s="412">
        <f>SUM(X119:X120)</f>
        <v>4000</v>
      </c>
      <c r="Y117" s="442">
        <f>SUM(Y118:Y119)</f>
        <v>0</v>
      </c>
      <c r="Z117" s="421"/>
    </row>
    <row r="118" spans="1:32" ht="12.75" customHeight="1" x14ac:dyDescent="0.25">
      <c r="A118" s="414" t="s">
        <v>177</v>
      </c>
      <c r="B118" s="438">
        <v>12900</v>
      </c>
      <c r="C118" s="415">
        <v>8900</v>
      </c>
      <c r="D118" s="415">
        <v>4000</v>
      </c>
      <c r="E118" s="444">
        <v>0</v>
      </c>
      <c r="F118" s="438">
        <v>13340</v>
      </c>
      <c r="G118" s="415">
        <v>9300</v>
      </c>
      <c r="H118" s="415">
        <v>4040</v>
      </c>
      <c r="I118" s="444">
        <v>0</v>
      </c>
      <c r="J118" s="438">
        <f t="shared" si="13"/>
        <v>9300</v>
      </c>
      <c r="K118" s="415">
        <v>9300</v>
      </c>
      <c r="L118" s="415">
        <v>0</v>
      </c>
      <c r="M118" s="443">
        <v>0</v>
      </c>
      <c r="N118" s="438">
        <f t="shared" si="14"/>
        <v>9300</v>
      </c>
      <c r="O118" s="415">
        <v>9300</v>
      </c>
      <c r="P118" s="415">
        <v>0</v>
      </c>
      <c r="Q118" s="443">
        <v>0</v>
      </c>
      <c r="R118" s="438">
        <f t="shared" si="23"/>
        <v>9600</v>
      </c>
      <c r="S118" s="415">
        <v>9600</v>
      </c>
      <c r="T118" s="415">
        <v>0</v>
      </c>
      <c r="U118" s="443">
        <v>0</v>
      </c>
      <c r="V118" s="438">
        <f t="shared" si="24"/>
        <v>9600</v>
      </c>
      <c r="W118" s="415">
        <v>9600</v>
      </c>
      <c r="X118" s="415">
        <v>0</v>
      </c>
      <c r="Y118" s="443">
        <v>0</v>
      </c>
    </row>
    <row r="119" spans="1:32" ht="12.75" customHeight="1" x14ac:dyDescent="0.25">
      <c r="A119" s="414" t="s">
        <v>178</v>
      </c>
      <c r="B119" s="440">
        <v>0</v>
      </c>
      <c r="C119" s="417">
        <v>0</v>
      </c>
      <c r="D119" s="417">
        <v>0</v>
      </c>
      <c r="E119" s="444">
        <v>0</v>
      </c>
      <c r="F119" s="440">
        <v>0</v>
      </c>
      <c r="G119" s="417">
        <v>0</v>
      </c>
      <c r="H119" s="417">
        <v>0</v>
      </c>
      <c r="I119" s="444">
        <v>0</v>
      </c>
      <c r="J119" s="438">
        <f t="shared" si="13"/>
        <v>4080</v>
      </c>
      <c r="K119" s="415">
        <v>0</v>
      </c>
      <c r="L119" s="415">
        <f>Budget_CfgOA_2023!S83</f>
        <v>4080</v>
      </c>
      <c r="M119" s="443">
        <v>0</v>
      </c>
      <c r="N119" s="438">
        <f t="shared" si="14"/>
        <v>4255</v>
      </c>
      <c r="O119" s="415">
        <v>0</v>
      </c>
      <c r="P119" s="415">
        <f>Budget_CfgOA_2024!D71</f>
        <v>4255</v>
      </c>
      <c r="Q119" s="443">
        <v>0</v>
      </c>
      <c r="R119" s="438">
        <f t="shared" si="23"/>
        <v>4000</v>
      </c>
      <c r="S119" s="415">
        <v>0</v>
      </c>
      <c r="T119" s="415">
        <v>4000</v>
      </c>
      <c r="U119" s="443">
        <v>0</v>
      </c>
      <c r="V119" s="438">
        <f t="shared" si="24"/>
        <v>4000</v>
      </c>
      <c r="W119" s="415">
        <v>0</v>
      </c>
      <c r="X119" s="415">
        <v>4000</v>
      </c>
      <c r="Y119" s="443">
        <v>0</v>
      </c>
    </row>
    <row r="120" spans="1:32" ht="11.7" hidden="1" customHeight="1" x14ac:dyDescent="0.25">
      <c r="A120" s="418"/>
      <c r="B120" s="441"/>
      <c r="C120" s="418"/>
      <c r="D120" s="418"/>
      <c r="E120" s="445"/>
      <c r="F120" s="441"/>
      <c r="G120" s="418"/>
      <c r="H120" s="418"/>
      <c r="I120" s="445"/>
      <c r="J120" s="470"/>
      <c r="K120" s="423"/>
      <c r="L120" s="423"/>
      <c r="M120" s="471"/>
      <c r="N120" s="470"/>
      <c r="O120" s="423"/>
      <c r="P120" s="423"/>
      <c r="Q120" s="471"/>
      <c r="R120" s="470"/>
      <c r="S120" s="423"/>
      <c r="T120" s="423"/>
      <c r="U120" s="471"/>
      <c r="V120" s="470"/>
      <c r="W120" s="423"/>
      <c r="X120" s="423"/>
      <c r="Y120" s="471"/>
    </row>
    <row r="121" spans="1:32" ht="12.75" customHeight="1" x14ac:dyDescent="0.25">
      <c r="A121" s="411" t="s">
        <v>15</v>
      </c>
      <c r="B121" s="436">
        <f>SUM(B122:B133)</f>
        <v>3400860</v>
      </c>
      <c r="C121" s="412">
        <f t="shared" ref="C121:I121" si="25">SUM(C122:C133)</f>
        <v>75000</v>
      </c>
      <c r="D121" s="412">
        <f t="shared" si="25"/>
        <v>1476960</v>
      </c>
      <c r="E121" s="442">
        <f t="shared" si="25"/>
        <v>1848900</v>
      </c>
      <c r="F121" s="436">
        <f t="shared" si="25"/>
        <v>3641178</v>
      </c>
      <c r="G121" s="412">
        <f t="shared" si="25"/>
        <v>77000</v>
      </c>
      <c r="H121" s="412">
        <f t="shared" si="25"/>
        <v>1611076</v>
      </c>
      <c r="I121" s="442">
        <f t="shared" si="25"/>
        <v>1953102</v>
      </c>
      <c r="J121" s="436">
        <f t="shared" si="13"/>
        <v>4132150.55</v>
      </c>
      <c r="K121" s="412">
        <f>SUM(K122:K133)</f>
        <v>87447.05</v>
      </c>
      <c r="L121" s="412">
        <f>SUM(L122:L133)</f>
        <v>1703243.5</v>
      </c>
      <c r="M121" s="442">
        <f>SUM(M122:M132)</f>
        <v>2341460</v>
      </c>
      <c r="N121" s="436">
        <f t="shared" si="14"/>
        <v>4421748.68</v>
      </c>
      <c r="O121" s="412">
        <f>SUM(O122:O132)</f>
        <v>88500</v>
      </c>
      <c r="P121" s="412">
        <f>SUM(P122:P133)</f>
        <v>1769102</v>
      </c>
      <c r="Q121" s="442">
        <f>SUM(Q122:Q132)</f>
        <v>2564146.6800000002</v>
      </c>
      <c r="R121" s="436">
        <f t="shared" ref="R121:R126" si="26">SUM(S121:U121)</f>
        <v>4462958</v>
      </c>
      <c r="S121" s="412">
        <f>SUM(S122:S132)</f>
        <v>0</v>
      </c>
      <c r="T121" s="412">
        <f>SUM(T122:T133)</f>
        <v>1890464</v>
      </c>
      <c r="U121" s="442">
        <f>SUM(U122:U133)</f>
        <v>2572494</v>
      </c>
      <c r="V121" s="436">
        <f t="shared" ref="V121:V132" si="27">SUM(W121:Y121)</f>
        <v>4469978</v>
      </c>
      <c r="W121" s="412">
        <f>SUM(W122:W132)</f>
        <v>0</v>
      </c>
      <c r="X121" s="412">
        <f>SUM(X122:X133)</f>
        <v>1918217</v>
      </c>
      <c r="Y121" s="442">
        <f>SUM(Y122:Y133)</f>
        <v>2551761</v>
      </c>
    </row>
    <row r="122" spans="1:32" ht="12.75" customHeight="1" x14ac:dyDescent="0.25">
      <c r="A122" s="414" t="s">
        <v>1</v>
      </c>
      <c r="B122" s="438">
        <f>SUM(C122:E122)</f>
        <v>3168460</v>
      </c>
      <c r="C122" s="415">
        <v>75000</v>
      </c>
      <c r="D122" s="415">
        <v>1443460</v>
      </c>
      <c r="E122" s="443">
        <v>1650000</v>
      </c>
      <c r="F122" s="438">
        <f>SUM(G122:I122)</f>
        <v>3451668</v>
      </c>
      <c r="G122" s="415">
        <v>77000</v>
      </c>
      <c r="H122" s="415">
        <v>1571566</v>
      </c>
      <c r="I122" s="443">
        <v>1803102</v>
      </c>
      <c r="J122" s="438">
        <f t="shared" si="13"/>
        <v>3893591.05</v>
      </c>
      <c r="K122" s="415">
        <v>87447.05</v>
      </c>
      <c r="L122" s="415">
        <f>Budget_CfgOA_2023!S85</f>
        <v>1666644</v>
      </c>
      <c r="M122" s="443">
        <f>Budget_VROA_2023!B75</f>
        <v>2139500</v>
      </c>
      <c r="N122" s="438">
        <f t="shared" si="14"/>
        <v>4192511</v>
      </c>
      <c r="O122" s="415">
        <v>88000</v>
      </c>
      <c r="P122" s="415">
        <f>Budget_CfgOA_2024!D73</f>
        <v>1738311</v>
      </c>
      <c r="Q122" s="443">
        <f>Budget_VROA_2024!B76</f>
        <v>2366200</v>
      </c>
      <c r="R122" s="438">
        <f t="shared" si="26"/>
        <v>4158642</v>
      </c>
      <c r="S122" s="415">
        <v>0</v>
      </c>
      <c r="T122" s="415">
        <v>1865651</v>
      </c>
      <c r="U122" s="443">
        <v>2292991</v>
      </c>
      <c r="V122" s="438">
        <f t="shared" si="27"/>
        <v>4257231</v>
      </c>
      <c r="W122" s="415">
        <v>0</v>
      </c>
      <c r="X122" s="415">
        <v>1890021</v>
      </c>
      <c r="Y122" s="443">
        <v>2367210</v>
      </c>
    </row>
    <row r="123" spans="1:32" ht="12.75" customHeight="1" x14ac:dyDescent="0.25">
      <c r="A123" s="414" t="s">
        <v>3</v>
      </c>
      <c r="B123" s="438">
        <f t="shared" ref="B123:B132" si="28">SUM(C123:E123)</f>
        <v>3500</v>
      </c>
      <c r="C123" s="415">
        <v>0</v>
      </c>
      <c r="D123" s="415">
        <v>1000</v>
      </c>
      <c r="E123" s="443">
        <v>2500</v>
      </c>
      <c r="F123" s="438">
        <f t="shared" ref="F123:F132" si="29">SUM(G123:I123)</f>
        <v>3510</v>
      </c>
      <c r="G123" s="415">
        <v>0</v>
      </c>
      <c r="H123" s="415">
        <v>1010</v>
      </c>
      <c r="I123" s="443">
        <v>2500</v>
      </c>
      <c r="J123" s="438">
        <f t="shared" si="13"/>
        <v>7812</v>
      </c>
      <c r="K123" s="415">
        <v>0</v>
      </c>
      <c r="L123" s="415">
        <f>Budget_CfgOA_2023!S92</f>
        <v>1212</v>
      </c>
      <c r="M123" s="443">
        <f>Budget_VROA_2023!B76</f>
        <v>6600</v>
      </c>
      <c r="N123" s="438">
        <f t="shared" si="14"/>
        <v>8075.9999999999964</v>
      </c>
      <c r="O123" s="415">
        <v>0</v>
      </c>
      <c r="P123" s="415">
        <f>Budget_CfgOA_2024!D75</f>
        <v>1212</v>
      </c>
      <c r="Q123" s="443">
        <f>Budget_VROA_2024!B77</f>
        <v>6863.9999999999964</v>
      </c>
      <c r="R123" s="438">
        <f t="shared" si="26"/>
        <v>8196</v>
      </c>
      <c r="S123" s="415">
        <v>0</v>
      </c>
      <c r="T123" s="415">
        <v>1212</v>
      </c>
      <c r="U123" s="443">
        <v>6984</v>
      </c>
      <c r="V123" s="438">
        <f t="shared" si="27"/>
        <v>1600</v>
      </c>
      <c r="W123" s="415">
        <v>0</v>
      </c>
      <c r="X123" s="415">
        <v>500</v>
      </c>
      <c r="Y123" s="443">
        <v>1100</v>
      </c>
    </row>
    <row r="124" spans="1:32" ht="12.75" customHeight="1" x14ac:dyDescent="0.25">
      <c r="A124" s="414" t="s">
        <v>4</v>
      </c>
      <c r="B124" s="438">
        <f t="shared" si="28"/>
        <v>500</v>
      </c>
      <c r="C124" s="415">
        <v>0</v>
      </c>
      <c r="D124" s="415">
        <v>500</v>
      </c>
      <c r="E124" s="443">
        <v>0</v>
      </c>
      <c r="F124" s="438">
        <f t="shared" si="29"/>
        <v>0</v>
      </c>
      <c r="G124" s="415">
        <v>0</v>
      </c>
      <c r="H124" s="415">
        <v>0</v>
      </c>
      <c r="I124" s="443">
        <v>0</v>
      </c>
      <c r="J124" s="438">
        <f t="shared" si="13"/>
        <v>0</v>
      </c>
      <c r="K124" s="415">
        <v>0</v>
      </c>
      <c r="L124" s="415">
        <v>0</v>
      </c>
      <c r="M124" s="443">
        <v>0</v>
      </c>
      <c r="N124" s="438">
        <f t="shared" si="14"/>
        <v>0</v>
      </c>
      <c r="O124" s="415">
        <v>0</v>
      </c>
      <c r="P124" s="415">
        <v>0</v>
      </c>
      <c r="Q124" s="443">
        <v>0</v>
      </c>
      <c r="R124" s="438">
        <f t="shared" si="26"/>
        <v>0</v>
      </c>
      <c r="S124" s="415">
        <v>0</v>
      </c>
      <c r="T124" s="415">
        <v>0</v>
      </c>
      <c r="U124" s="443">
        <v>0</v>
      </c>
      <c r="V124" s="438">
        <f t="shared" si="27"/>
        <v>0</v>
      </c>
      <c r="W124" s="415">
        <v>0</v>
      </c>
      <c r="X124" s="415">
        <v>0</v>
      </c>
      <c r="Y124" s="443">
        <v>0</v>
      </c>
    </row>
    <row r="125" spans="1:32" x14ac:dyDescent="0.25">
      <c r="A125" s="414" t="s">
        <v>5</v>
      </c>
      <c r="B125" s="438">
        <f t="shared" si="28"/>
        <v>18000</v>
      </c>
      <c r="C125" s="415">
        <v>0</v>
      </c>
      <c r="D125" s="415">
        <v>6000</v>
      </c>
      <c r="E125" s="443">
        <v>12000</v>
      </c>
      <c r="F125" s="438">
        <f t="shared" si="29"/>
        <v>18060</v>
      </c>
      <c r="G125" s="415">
        <v>0</v>
      </c>
      <c r="H125" s="415">
        <v>6060</v>
      </c>
      <c r="I125" s="443">
        <v>12000</v>
      </c>
      <c r="J125" s="438">
        <f t="shared" si="13"/>
        <v>20800</v>
      </c>
      <c r="K125" s="415">
        <v>0</v>
      </c>
      <c r="L125" s="415">
        <f>Budget_CfgOA_2023!S94</f>
        <v>7600</v>
      </c>
      <c r="M125" s="443">
        <f>Budget_VROA_2023!B77</f>
        <v>13200.000000000002</v>
      </c>
      <c r="N125" s="438">
        <f t="shared" si="14"/>
        <v>17528.000000000004</v>
      </c>
      <c r="O125" s="415">
        <v>0</v>
      </c>
      <c r="P125" s="415">
        <f>Budget_CfgOA_2024!D77</f>
        <v>3800</v>
      </c>
      <c r="Q125" s="443">
        <f>Budget_VROA_2024!B78</f>
        <v>13728.000000000004</v>
      </c>
      <c r="R125" s="438">
        <f t="shared" si="26"/>
        <v>17930</v>
      </c>
      <c r="S125" s="415">
        <v>0</v>
      </c>
      <c r="T125" s="415">
        <v>3962</v>
      </c>
      <c r="U125" s="443">
        <v>13968</v>
      </c>
      <c r="V125" s="438">
        <f t="shared" si="27"/>
        <v>8648</v>
      </c>
      <c r="W125" s="415">
        <v>0</v>
      </c>
      <c r="X125" s="415">
        <v>6748</v>
      </c>
      <c r="Y125" s="443">
        <v>1900</v>
      </c>
    </row>
    <row r="126" spans="1:32" ht="12.75" customHeight="1" x14ac:dyDescent="0.25">
      <c r="A126" s="414" t="s">
        <v>7</v>
      </c>
      <c r="B126" s="438">
        <f t="shared" si="28"/>
        <v>6000</v>
      </c>
      <c r="C126" s="415">
        <v>0</v>
      </c>
      <c r="D126" s="415">
        <v>6000</v>
      </c>
      <c r="E126" s="443">
        <v>0</v>
      </c>
      <c r="F126" s="438">
        <f t="shared" si="29"/>
        <v>6060</v>
      </c>
      <c r="G126" s="415">
        <v>0</v>
      </c>
      <c r="H126" s="415">
        <v>6060</v>
      </c>
      <c r="I126" s="443">
        <v>0</v>
      </c>
      <c r="J126" s="438">
        <f t="shared" si="13"/>
        <v>6121</v>
      </c>
      <c r="K126" s="415">
        <v>0</v>
      </c>
      <c r="L126" s="415">
        <f>Budget_CfgOA_2023!S95</f>
        <v>6121</v>
      </c>
      <c r="M126" s="443">
        <f>Budget_VROA_2023!B78</f>
        <v>0</v>
      </c>
      <c r="N126" s="438">
        <f t="shared" si="14"/>
        <v>3500</v>
      </c>
      <c r="O126" s="415">
        <v>0</v>
      </c>
      <c r="P126" s="415">
        <f>Budget_CfgOA_2024!D78</f>
        <v>3500</v>
      </c>
      <c r="Q126" s="443">
        <f>Budget_VROA_2024!B79</f>
        <v>0</v>
      </c>
      <c r="R126" s="438">
        <f t="shared" si="26"/>
        <v>3000</v>
      </c>
      <c r="S126" s="415">
        <v>0</v>
      </c>
      <c r="T126" s="415">
        <v>3000</v>
      </c>
      <c r="U126" s="443">
        <v>0</v>
      </c>
      <c r="V126" s="438">
        <f t="shared" si="27"/>
        <v>2500</v>
      </c>
      <c r="W126" s="415">
        <v>0</v>
      </c>
      <c r="X126" s="415">
        <v>2500</v>
      </c>
      <c r="Y126" s="443">
        <v>0</v>
      </c>
    </row>
    <row r="127" spans="1:32" ht="12.75" customHeight="1" x14ac:dyDescent="0.25">
      <c r="A127" s="414" t="s">
        <v>8</v>
      </c>
      <c r="B127" s="438">
        <f t="shared" si="28"/>
        <v>16000</v>
      </c>
      <c r="C127" s="415">
        <v>0</v>
      </c>
      <c r="D127" s="415">
        <v>0</v>
      </c>
      <c r="E127" s="443">
        <v>16000</v>
      </c>
      <c r="F127" s="438">
        <f t="shared" si="29"/>
        <v>16000</v>
      </c>
      <c r="G127" s="415">
        <v>0</v>
      </c>
      <c r="H127" s="415">
        <v>0</v>
      </c>
      <c r="I127" s="443">
        <v>16000</v>
      </c>
      <c r="J127" s="438">
        <f t="shared" ref="J127:J154" si="30">SUM(K127:M127)</f>
        <v>17600</v>
      </c>
      <c r="K127" s="415">
        <v>0</v>
      </c>
      <c r="L127" s="415">
        <v>0</v>
      </c>
      <c r="M127" s="443">
        <f>Budget_VROA_2023!B79</f>
        <v>17600</v>
      </c>
      <c r="N127" s="438">
        <f t="shared" ref="N127:N154" si="31">SUM(O127:Q127)</f>
        <v>18303.999999999989</v>
      </c>
      <c r="O127" s="415">
        <v>0</v>
      </c>
      <c r="P127" s="415">
        <v>0</v>
      </c>
      <c r="Q127" s="443">
        <f>Budget_VROA_2024!B80</f>
        <v>18303.999999999989</v>
      </c>
      <c r="R127" s="438">
        <f t="shared" ref="R127:R132" si="32">SUM(S127:U127)</f>
        <v>18625</v>
      </c>
      <c r="S127" s="415">
        <v>0</v>
      </c>
      <c r="T127" s="415">
        <v>0</v>
      </c>
      <c r="U127" s="443">
        <v>18625</v>
      </c>
      <c r="V127" s="438">
        <f t="shared" si="27"/>
        <v>22500</v>
      </c>
      <c r="W127" s="415">
        <v>0</v>
      </c>
      <c r="X127" s="415">
        <v>0</v>
      </c>
      <c r="Y127" s="443">
        <v>22500</v>
      </c>
    </row>
    <row r="128" spans="1:32" ht="12.75" customHeight="1" x14ac:dyDescent="0.25">
      <c r="A128" s="414" t="s">
        <v>9</v>
      </c>
      <c r="B128" s="438">
        <f t="shared" si="28"/>
        <v>18000</v>
      </c>
      <c r="C128" s="415">
        <v>0</v>
      </c>
      <c r="D128" s="415">
        <v>10000</v>
      </c>
      <c r="E128" s="443">
        <v>8000</v>
      </c>
      <c r="F128" s="438">
        <f t="shared" si="29"/>
        <v>18100</v>
      </c>
      <c r="G128" s="415">
        <v>0</v>
      </c>
      <c r="H128" s="415">
        <v>10100</v>
      </c>
      <c r="I128" s="443">
        <v>8000</v>
      </c>
      <c r="J128" s="438">
        <f t="shared" si="30"/>
        <v>20201</v>
      </c>
      <c r="K128" s="415">
        <v>0</v>
      </c>
      <c r="L128" s="415">
        <f>Budget_CfgOA_2023!S97</f>
        <v>10201</v>
      </c>
      <c r="M128" s="443">
        <f>Budget_VROA_2023!B80</f>
        <v>10000</v>
      </c>
      <c r="N128" s="438">
        <f t="shared" si="31"/>
        <v>22640</v>
      </c>
      <c r="O128" s="415">
        <v>0</v>
      </c>
      <c r="P128" s="415">
        <f>Budget_CfgOA_2024!D80</f>
        <v>10640</v>
      </c>
      <c r="Q128" s="443">
        <f>Budget_VROA_2024!B81</f>
        <v>12000</v>
      </c>
      <c r="R128" s="438">
        <f t="shared" si="32"/>
        <v>17000</v>
      </c>
      <c r="S128" s="415">
        <v>0</v>
      </c>
      <c r="T128" s="415">
        <v>5000</v>
      </c>
      <c r="U128" s="443">
        <v>12000</v>
      </c>
      <c r="V128" s="438">
        <f t="shared" si="27"/>
        <v>17000</v>
      </c>
      <c r="W128" s="415">
        <v>0</v>
      </c>
      <c r="X128" s="415">
        <v>5000</v>
      </c>
      <c r="Y128" s="443">
        <v>12000</v>
      </c>
    </row>
    <row r="129" spans="1:26" ht="12.75" customHeight="1" x14ac:dyDescent="0.25">
      <c r="A129" s="414" t="s">
        <v>10</v>
      </c>
      <c r="B129" s="438">
        <f t="shared" si="28"/>
        <v>5800</v>
      </c>
      <c r="C129" s="415">
        <v>0</v>
      </c>
      <c r="D129" s="415">
        <v>0</v>
      </c>
      <c r="E129" s="443">
        <v>5800</v>
      </c>
      <c r="F129" s="438">
        <f t="shared" si="29"/>
        <v>12680</v>
      </c>
      <c r="G129" s="415">
        <v>0</v>
      </c>
      <c r="H129" s="415">
        <v>6180</v>
      </c>
      <c r="I129" s="443">
        <v>6500</v>
      </c>
      <c r="J129" s="438">
        <f t="shared" si="30"/>
        <v>13125</v>
      </c>
      <c r="K129" s="415">
        <v>0</v>
      </c>
      <c r="L129" s="415">
        <f>Budget_CfgOA_2023!S91</f>
        <v>6365</v>
      </c>
      <c r="M129" s="443">
        <f>Budget_VROA_2023!B81</f>
        <v>6760</v>
      </c>
      <c r="N129" s="438">
        <f t="shared" si="31"/>
        <v>13689.679999999995</v>
      </c>
      <c r="O129" s="415">
        <v>0</v>
      </c>
      <c r="P129" s="415">
        <f>Budget_CfgOA_2024!D74</f>
        <v>6639</v>
      </c>
      <c r="Q129" s="443">
        <f>Budget_VROA_2024!B82</f>
        <v>7050.6799999999948</v>
      </c>
      <c r="R129" s="438">
        <f t="shared" si="32"/>
        <v>13690</v>
      </c>
      <c r="S129" s="415">
        <v>0</v>
      </c>
      <c r="T129" s="415">
        <v>6639</v>
      </c>
      <c r="U129" s="443">
        <v>7051</v>
      </c>
      <c r="V129" s="438">
        <f t="shared" si="27"/>
        <v>15499</v>
      </c>
      <c r="W129" s="415">
        <v>0</v>
      </c>
      <c r="X129" s="415">
        <v>8448</v>
      </c>
      <c r="Y129" s="443">
        <v>7051</v>
      </c>
    </row>
    <row r="130" spans="1:26" ht="12.75" customHeight="1" x14ac:dyDescent="0.25">
      <c r="A130" s="414" t="s">
        <v>12</v>
      </c>
      <c r="B130" s="438">
        <f t="shared" si="28"/>
        <v>35000</v>
      </c>
      <c r="C130" s="415">
        <v>0</v>
      </c>
      <c r="D130" s="415">
        <v>10000</v>
      </c>
      <c r="E130" s="443">
        <v>25000</v>
      </c>
      <c r="F130" s="438">
        <f t="shared" si="29"/>
        <v>35100</v>
      </c>
      <c r="G130" s="415">
        <v>0</v>
      </c>
      <c r="H130" s="415">
        <v>10100</v>
      </c>
      <c r="I130" s="443">
        <v>25000</v>
      </c>
      <c r="J130" s="438">
        <f t="shared" si="30"/>
        <v>35100.5</v>
      </c>
      <c r="K130" s="415">
        <v>0</v>
      </c>
      <c r="L130" s="415">
        <f>Budget_CfgOA_2023!S96</f>
        <v>5100.5</v>
      </c>
      <c r="M130" s="443">
        <f>Budget_VROA_2023!B82</f>
        <v>30000</v>
      </c>
      <c r="N130" s="438">
        <f t="shared" si="31"/>
        <v>55499.999999999985</v>
      </c>
      <c r="O130" s="415">
        <v>500</v>
      </c>
      <c r="P130" s="415">
        <f>Budget_CfgOA_2024!D79</f>
        <v>5000</v>
      </c>
      <c r="Q130" s="443">
        <f>Budget_VROA_2024!B83</f>
        <v>49999.999999999985</v>
      </c>
      <c r="R130" s="438">
        <f t="shared" si="32"/>
        <v>55875</v>
      </c>
      <c r="S130" s="415">
        <v>0</v>
      </c>
      <c r="T130" s="415">
        <v>5000</v>
      </c>
      <c r="U130" s="443">
        <v>50875</v>
      </c>
      <c r="V130" s="438">
        <f t="shared" si="27"/>
        <v>65000</v>
      </c>
      <c r="W130" s="415">
        <v>0</v>
      </c>
      <c r="X130" s="415">
        <v>5000</v>
      </c>
      <c r="Y130" s="443">
        <v>60000</v>
      </c>
    </row>
    <row r="131" spans="1:26" ht="12.75" customHeight="1" x14ac:dyDescent="0.25">
      <c r="A131" s="414" t="s">
        <v>14</v>
      </c>
      <c r="B131" s="438">
        <f t="shared" ref="B131" si="33">SUM(C131:E131)</f>
        <v>64800</v>
      </c>
      <c r="C131" s="415">
        <v>0</v>
      </c>
      <c r="D131" s="415">
        <v>0</v>
      </c>
      <c r="E131" s="443">
        <v>64800</v>
      </c>
      <c r="F131" s="438">
        <f t="shared" ref="F131" si="34">SUM(G131:I131)</f>
        <v>40000</v>
      </c>
      <c r="G131" s="415">
        <v>0</v>
      </c>
      <c r="H131" s="415">
        <v>0</v>
      </c>
      <c r="I131" s="443">
        <v>40000</v>
      </c>
      <c r="J131" s="438">
        <f t="shared" ref="J131" si="35">SUM(K131:M131)</f>
        <v>30000</v>
      </c>
      <c r="K131" s="415">
        <v>0</v>
      </c>
      <c r="L131" s="415">
        <v>0</v>
      </c>
      <c r="M131" s="443">
        <f>Budget_VROA_2023!B82</f>
        <v>30000</v>
      </c>
      <c r="N131" s="438">
        <f t="shared" ref="N131:N132" si="36">SUM(O131:Q131)</f>
        <v>90000</v>
      </c>
      <c r="O131" s="415">
        <v>0</v>
      </c>
      <c r="P131" s="415">
        <v>0</v>
      </c>
      <c r="Q131" s="443">
        <v>90000</v>
      </c>
      <c r="R131" s="438">
        <f t="shared" ref="R131" si="37">SUM(S131:U131)</f>
        <v>100000</v>
      </c>
      <c r="S131" s="415">
        <v>0</v>
      </c>
      <c r="T131" s="415">
        <v>0</v>
      </c>
      <c r="U131" s="443">
        <v>100000</v>
      </c>
      <c r="V131" s="438">
        <f t="shared" si="27"/>
        <v>80000</v>
      </c>
      <c r="W131" s="415">
        <v>0</v>
      </c>
      <c r="X131" s="415">
        <v>0</v>
      </c>
      <c r="Y131" s="443">
        <v>80000</v>
      </c>
    </row>
    <row r="132" spans="1:26" ht="12.75" customHeight="1" x14ac:dyDescent="0.25">
      <c r="A132" s="414" t="s">
        <v>1044</v>
      </c>
      <c r="B132" s="438">
        <f t="shared" si="28"/>
        <v>64800</v>
      </c>
      <c r="C132" s="415">
        <v>0</v>
      </c>
      <c r="D132" s="415">
        <v>0</v>
      </c>
      <c r="E132" s="443">
        <v>64800</v>
      </c>
      <c r="F132" s="438">
        <f t="shared" si="29"/>
        <v>40000</v>
      </c>
      <c r="G132" s="415">
        <v>0</v>
      </c>
      <c r="H132" s="415">
        <v>0</v>
      </c>
      <c r="I132" s="443">
        <v>40000</v>
      </c>
      <c r="J132" s="438">
        <f t="shared" si="30"/>
        <v>87800</v>
      </c>
      <c r="K132" s="415">
        <v>0</v>
      </c>
      <c r="L132" s="415">
        <v>0</v>
      </c>
      <c r="M132" s="443">
        <f>Budget_VROA_2023!B83</f>
        <v>87800</v>
      </c>
      <c r="N132" s="438">
        <f t="shared" si="36"/>
        <v>0</v>
      </c>
      <c r="O132" s="415">
        <v>0</v>
      </c>
      <c r="P132" s="415">
        <v>0</v>
      </c>
      <c r="Q132" s="443">
        <v>0</v>
      </c>
      <c r="R132" s="438">
        <f t="shared" si="32"/>
        <v>70000</v>
      </c>
      <c r="S132" s="415">
        <v>0</v>
      </c>
      <c r="T132" s="415">
        <v>0</v>
      </c>
      <c r="U132" s="443">
        <v>70000</v>
      </c>
      <c r="V132" s="438">
        <f t="shared" si="27"/>
        <v>0</v>
      </c>
      <c r="W132" s="415">
        <v>0</v>
      </c>
      <c r="X132" s="415">
        <v>0</v>
      </c>
      <c r="Y132" s="443">
        <v>0</v>
      </c>
    </row>
    <row r="133" spans="1:26" ht="12.75" hidden="1" customHeight="1" x14ac:dyDescent="0.25">
      <c r="A133" s="414"/>
      <c r="B133" s="440"/>
      <c r="C133" s="417"/>
      <c r="D133" s="417"/>
      <c r="E133" s="444"/>
      <c r="F133" s="440"/>
      <c r="G133" s="417"/>
      <c r="H133" s="417"/>
      <c r="I133" s="444"/>
      <c r="J133" s="438"/>
      <c r="K133" s="415"/>
      <c r="L133" s="415"/>
      <c r="M133" s="443"/>
      <c r="N133" s="438"/>
      <c r="O133" s="415"/>
      <c r="P133" s="415"/>
      <c r="Q133" s="443"/>
      <c r="R133" s="438"/>
      <c r="S133" s="415"/>
      <c r="T133" s="415"/>
      <c r="U133" s="443"/>
      <c r="V133" s="438"/>
      <c r="W133" s="415"/>
      <c r="X133" s="415"/>
      <c r="Y133" s="443"/>
    </row>
    <row r="134" spans="1:26" ht="12.75" customHeight="1" x14ac:dyDescent="0.25">
      <c r="A134" s="411" t="s">
        <v>17</v>
      </c>
      <c r="B134" s="436">
        <f t="shared" ref="B134:I134" si="38">SUM(B135:B141)</f>
        <v>427488</v>
      </c>
      <c r="C134" s="412">
        <f t="shared" si="38"/>
        <v>3000</v>
      </c>
      <c r="D134" s="412">
        <f t="shared" si="38"/>
        <v>15000</v>
      </c>
      <c r="E134" s="442">
        <f t="shared" si="38"/>
        <v>409488</v>
      </c>
      <c r="F134" s="436">
        <f t="shared" si="38"/>
        <v>512310</v>
      </c>
      <c r="G134" s="412">
        <f t="shared" si="38"/>
        <v>146000</v>
      </c>
      <c r="H134" s="412">
        <f t="shared" si="38"/>
        <v>15150</v>
      </c>
      <c r="I134" s="442">
        <f t="shared" si="38"/>
        <v>351160</v>
      </c>
      <c r="J134" s="436">
        <f t="shared" si="30"/>
        <v>314500</v>
      </c>
      <c r="K134" s="412">
        <f>SUM(K135:K141)</f>
        <v>55000</v>
      </c>
      <c r="L134" s="412">
        <f>SUM(L135:L141)</f>
        <v>12500</v>
      </c>
      <c r="M134" s="442">
        <f>SUM(M135:M140)</f>
        <v>247000</v>
      </c>
      <c r="N134" s="436">
        <f t="shared" si="31"/>
        <v>214450</v>
      </c>
      <c r="O134" s="412">
        <f>SUM(O135:O140)</f>
        <v>38000</v>
      </c>
      <c r="P134" s="412">
        <f>SUM(P135:P141)</f>
        <v>10000</v>
      </c>
      <c r="Q134" s="442">
        <f>SUM(Q135:Q140)</f>
        <v>166450</v>
      </c>
      <c r="R134" s="436">
        <f t="shared" ref="R134:R140" si="39">SUM(S134:U134)</f>
        <v>179200</v>
      </c>
      <c r="S134" s="412">
        <f>SUM(S135:S140)</f>
        <v>0</v>
      </c>
      <c r="T134" s="412">
        <f>SUM(T135:T141)</f>
        <v>5000</v>
      </c>
      <c r="U134" s="442">
        <f>SUM(U135:U140)</f>
        <v>174200</v>
      </c>
      <c r="V134" s="436">
        <f t="shared" ref="V134:V140" si="40">SUM(W134:Y134)</f>
        <v>173600</v>
      </c>
      <c r="W134" s="412">
        <f>SUM(W135:W140)</f>
        <v>0</v>
      </c>
      <c r="X134" s="412">
        <f>SUM(X135:X141)</f>
        <v>10000</v>
      </c>
      <c r="Y134" s="442">
        <f>SUM(Y135:Y140)</f>
        <v>163600</v>
      </c>
    </row>
    <row r="135" spans="1:26" ht="12.75" customHeight="1" x14ac:dyDescent="0.25">
      <c r="A135" s="414" t="s">
        <v>19</v>
      </c>
      <c r="B135" s="438">
        <f t="shared" ref="B135:B140" si="41">SUM(C135:E135)</f>
        <v>0</v>
      </c>
      <c r="C135" s="415">
        <v>0</v>
      </c>
      <c r="D135" s="415">
        <v>0</v>
      </c>
      <c r="E135" s="443">
        <v>0</v>
      </c>
      <c r="F135" s="438">
        <f t="shared" ref="F135:F140" si="42">SUM(G135:I135)</f>
        <v>71000</v>
      </c>
      <c r="G135" s="415">
        <v>71000</v>
      </c>
      <c r="H135" s="415">
        <v>0</v>
      </c>
      <c r="I135" s="443">
        <v>0</v>
      </c>
      <c r="J135" s="438">
        <f t="shared" si="30"/>
        <v>50000</v>
      </c>
      <c r="K135" s="415">
        <v>50000</v>
      </c>
      <c r="L135" s="415">
        <v>0</v>
      </c>
      <c r="M135" s="443">
        <v>0</v>
      </c>
      <c r="N135" s="438">
        <f t="shared" si="31"/>
        <v>33000</v>
      </c>
      <c r="O135" s="415">
        <f>'Detail 2024-NROA-bron'!C48</f>
        <v>33000</v>
      </c>
      <c r="P135" s="415">
        <v>0</v>
      </c>
      <c r="Q135" s="443">
        <v>0</v>
      </c>
      <c r="R135" s="438">
        <f t="shared" si="39"/>
        <v>0</v>
      </c>
      <c r="S135" s="415">
        <v>0</v>
      </c>
      <c r="T135" s="415">
        <v>0</v>
      </c>
      <c r="U135" s="443">
        <v>0</v>
      </c>
      <c r="V135" s="438">
        <f t="shared" si="40"/>
        <v>0</v>
      </c>
      <c r="W135" s="415">
        <v>0</v>
      </c>
      <c r="X135" s="415">
        <v>0</v>
      </c>
      <c r="Y135" s="443">
        <v>0</v>
      </c>
      <c r="Z135" s="421"/>
    </row>
    <row r="136" spans="1:26" ht="12.75" customHeight="1" x14ac:dyDescent="0.25">
      <c r="A136" s="414" t="s">
        <v>21</v>
      </c>
      <c r="B136" s="438">
        <f t="shared" si="41"/>
        <v>0</v>
      </c>
      <c r="C136" s="415">
        <v>0</v>
      </c>
      <c r="D136" s="415">
        <v>0</v>
      </c>
      <c r="E136" s="443">
        <v>0</v>
      </c>
      <c r="F136" s="438">
        <f t="shared" si="42"/>
        <v>0</v>
      </c>
      <c r="G136" s="415">
        <v>0</v>
      </c>
      <c r="H136" s="415">
        <v>0</v>
      </c>
      <c r="I136" s="443">
        <v>0</v>
      </c>
      <c r="J136" s="438">
        <f t="shared" si="30"/>
        <v>0</v>
      </c>
      <c r="K136" s="415">
        <v>0</v>
      </c>
      <c r="L136" s="415">
        <v>0</v>
      </c>
      <c r="M136" s="443">
        <v>0</v>
      </c>
      <c r="N136" s="438">
        <f t="shared" si="31"/>
        <v>0</v>
      </c>
      <c r="O136" s="415">
        <v>0</v>
      </c>
      <c r="P136" s="415">
        <v>0</v>
      </c>
      <c r="Q136" s="443">
        <v>0</v>
      </c>
      <c r="R136" s="438">
        <f t="shared" si="39"/>
        <v>0</v>
      </c>
      <c r="S136" s="415">
        <v>0</v>
      </c>
      <c r="T136" s="415">
        <v>0</v>
      </c>
      <c r="U136" s="443">
        <v>0</v>
      </c>
      <c r="V136" s="438">
        <f t="shared" si="40"/>
        <v>0</v>
      </c>
      <c r="W136" s="415">
        <v>0</v>
      </c>
      <c r="X136" s="415">
        <v>0</v>
      </c>
      <c r="Y136" s="443">
        <v>0</v>
      </c>
    </row>
    <row r="137" spans="1:26" ht="12.75" customHeight="1" x14ac:dyDescent="0.25">
      <c r="A137" s="414" t="s">
        <v>22</v>
      </c>
      <c r="B137" s="438">
        <f t="shared" si="41"/>
        <v>0</v>
      </c>
      <c r="C137" s="415">
        <v>0</v>
      </c>
      <c r="D137" s="415">
        <v>0</v>
      </c>
      <c r="E137" s="443">
        <v>0</v>
      </c>
      <c r="F137" s="438">
        <f t="shared" si="42"/>
        <v>0</v>
      </c>
      <c r="G137" s="415">
        <v>0</v>
      </c>
      <c r="H137" s="415">
        <v>0</v>
      </c>
      <c r="I137" s="443">
        <v>0</v>
      </c>
      <c r="J137" s="438">
        <f t="shared" si="30"/>
        <v>0</v>
      </c>
      <c r="K137" s="415">
        <v>0</v>
      </c>
      <c r="L137" s="415">
        <v>0</v>
      </c>
      <c r="M137" s="443">
        <v>0</v>
      </c>
      <c r="N137" s="438">
        <f t="shared" si="31"/>
        <v>0</v>
      </c>
      <c r="O137" s="415">
        <v>0</v>
      </c>
      <c r="P137" s="415">
        <v>0</v>
      </c>
      <c r="Q137" s="443">
        <v>0</v>
      </c>
      <c r="R137" s="438">
        <f t="shared" si="39"/>
        <v>0</v>
      </c>
      <c r="S137" s="415">
        <v>0</v>
      </c>
      <c r="T137" s="415">
        <v>0</v>
      </c>
      <c r="U137" s="443">
        <v>0</v>
      </c>
      <c r="V137" s="438">
        <f t="shared" si="40"/>
        <v>0</v>
      </c>
      <c r="W137" s="415">
        <v>0</v>
      </c>
      <c r="X137" s="415">
        <v>0</v>
      </c>
      <c r="Y137" s="443">
        <v>0</v>
      </c>
    </row>
    <row r="138" spans="1:26" ht="12.75" customHeight="1" x14ac:dyDescent="0.25">
      <c r="A138" s="414" t="s">
        <v>23</v>
      </c>
      <c r="B138" s="438">
        <f t="shared" si="41"/>
        <v>397488</v>
      </c>
      <c r="C138" s="415">
        <v>3000</v>
      </c>
      <c r="D138" s="415">
        <v>0</v>
      </c>
      <c r="E138" s="443">
        <v>394488</v>
      </c>
      <c r="F138" s="438">
        <f t="shared" si="42"/>
        <v>415660</v>
      </c>
      <c r="G138" s="415">
        <v>75000</v>
      </c>
      <c r="H138" s="415">
        <v>0</v>
      </c>
      <c r="I138" s="443">
        <v>340660</v>
      </c>
      <c r="J138" s="438">
        <f t="shared" si="30"/>
        <v>212000</v>
      </c>
      <c r="K138" s="415">
        <v>5000</v>
      </c>
      <c r="L138" s="415">
        <v>0</v>
      </c>
      <c r="M138" s="443">
        <f>SUM(Budget_VROA_2023!B85:B86)</f>
        <v>207000</v>
      </c>
      <c r="N138" s="438">
        <f t="shared" si="31"/>
        <v>119500</v>
      </c>
      <c r="O138" s="415">
        <v>5000</v>
      </c>
      <c r="P138" s="415">
        <v>0</v>
      </c>
      <c r="Q138" s="443">
        <f>Budget_VROA_2024!B86+Budget_VROA_2024!B87</f>
        <v>114500</v>
      </c>
      <c r="R138" s="438">
        <f t="shared" si="39"/>
        <v>89000</v>
      </c>
      <c r="S138" s="415">
        <v>0</v>
      </c>
      <c r="T138" s="415">
        <v>0</v>
      </c>
      <c r="U138" s="443">
        <v>89000</v>
      </c>
      <c r="V138" s="438">
        <f t="shared" si="40"/>
        <v>131600</v>
      </c>
      <c r="W138" s="415">
        <v>0</v>
      </c>
      <c r="X138" s="415">
        <v>0</v>
      </c>
      <c r="Y138" s="443">
        <f>110600+21000</f>
        <v>131600</v>
      </c>
      <c r="Z138" s="419"/>
    </row>
    <row r="139" spans="1:26" ht="12.75" customHeight="1" x14ac:dyDescent="0.25">
      <c r="A139" s="414" t="s">
        <v>25</v>
      </c>
      <c r="B139" s="438">
        <f t="shared" si="41"/>
        <v>30000</v>
      </c>
      <c r="C139" s="415">
        <v>0</v>
      </c>
      <c r="D139" s="415">
        <v>15000</v>
      </c>
      <c r="E139" s="443">
        <v>15000</v>
      </c>
      <c r="F139" s="438">
        <f t="shared" si="42"/>
        <v>25650</v>
      </c>
      <c r="G139" s="415">
        <v>0</v>
      </c>
      <c r="H139" s="415">
        <v>15150</v>
      </c>
      <c r="I139" s="443">
        <v>10500</v>
      </c>
      <c r="J139" s="438">
        <f t="shared" si="30"/>
        <v>52500</v>
      </c>
      <c r="K139" s="415">
        <v>0</v>
      </c>
      <c r="L139" s="415">
        <f>Budget_CfgOA_2023!S100</f>
        <v>12500</v>
      </c>
      <c r="M139" s="443">
        <f>Budget_VROA_2023!B87</f>
        <v>40000</v>
      </c>
      <c r="N139" s="438">
        <f t="shared" si="31"/>
        <v>61950</v>
      </c>
      <c r="O139" s="415">
        <v>0</v>
      </c>
      <c r="P139" s="415">
        <f>Budget_CfgOA_2024!D83</f>
        <v>10000</v>
      </c>
      <c r="Q139" s="443">
        <f>Budget_VROA_2024!B88</f>
        <v>51950</v>
      </c>
      <c r="R139" s="438">
        <f t="shared" si="39"/>
        <v>90200</v>
      </c>
      <c r="S139" s="415">
        <v>0</v>
      </c>
      <c r="T139" s="415">
        <v>5000</v>
      </c>
      <c r="U139" s="443">
        <v>85200</v>
      </c>
      <c r="V139" s="438">
        <f t="shared" si="40"/>
        <v>42000</v>
      </c>
      <c r="W139" s="415">
        <v>0</v>
      </c>
      <c r="X139" s="415">
        <v>10000</v>
      </c>
      <c r="Y139" s="443">
        <v>32000</v>
      </c>
    </row>
    <row r="140" spans="1:26" ht="12.75" customHeight="1" x14ac:dyDescent="0.25">
      <c r="A140" s="414" t="s">
        <v>27</v>
      </c>
      <c r="B140" s="438">
        <f t="shared" si="41"/>
        <v>0</v>
      </c>
      <c r="C140" s="415">
        <v>0</v>
      </c>
      <c r="D140" s="415">
        <v>0</v>
      </c>
      <c r="E140" s="443">
        <v>0</v>
      </c>
      <c r="F140" s="438">
        <f t="shared" si="42"/>
        <v>0</v>
      </c>
      <c r="G140" s="415">
        <v>0</v>
      </c>
      <c r="H140" s="415">
        <v>0</v>
      </c>
      <c r="I140" s="443">
        <v>0</v>
      </c>
      <c r="J140" s="438">
        <f t="shared" si="30"/>
        <v>0</v>
      </c>
      <c r="K140" s="415">
        <v>0</v>
      </c>
      <c r="L140" s="415">
        <v>0</v>
      </c>
      <c r="M140" s="443">
        <v>0</v>
      </c>
      <c r="N140" s="438">
        <f t="shared" si="31"/>
        <v>0</v>
      </c>
      <c r="O140" s="415">
        <v>0</v>
      </c>
      <c r="P140" s="415">
        <v>0</v>
      </c>
      <c r="Q140" s="443">
        <v>0</v>
      </c>
      <c r="R140" s="438">
        <f t="shared" si="39"/>
        <v>0</v>
      </c>
      <c r="S140" s="415">
        <v>0</v>
      </c>
      <c r="T140" s="415">
        <v>0</v>
      </c>
      <c r="U140" s="443">
        <v>0</v>
      </c>
      <c r="V140" s="438">
        <f t="shared" si="40"/>
        <v>0</v>
      </c>
      <c r="W140" s="415">
        <v>0</v>
      </c>
      <c r="X140" s="415">
        <v>0</v>
      </c>
      <c r="Y140" s="443">
        <v>0</v>
      </c>
    </row>
    <row r="141" spans="1:26" ht="12.75" hidden="1" customHeight="1" x14ac:dyDescent="0.25">
      <c r="A141" s="414"/>
      <c r="B141" s="438"/>
      <c r="C141" s="415"/>
      <c r="D141" s="415"/>
      <c r="E141" s="443"/>
      <c r="F141" s="438"/>
      <c r="G141" s="415"/>
      <c r="H141" s="415"/>
      <c r="I141" s="443"/>
      <c r="J141" s="438"/>
      <c r="K141" s="415"/>
      <c r="L141" s="415"/>
      <c r="M141" s="443"/>
      <c r="N141" s="438"/>
      <c r="O141" s="415"/>
      <c r="P141" s="415"/>
      <c r="Q141" s="443"/>
      <c r="R141" s="438"/>
      <c r="S141" s="415"/>
      <c r="T141" s="415"/>
      <c r="U141" s="443"/>
      <c r="V141" s="438"/>
      <c r="W141" s="415"/>
      <c r="X141" s="415"/>
      <c r="Y141" s="443"/>
    </row>
    <row r="142" spans="1:26" ht="12.75" customHeight="1" x14ac:dyDescent="0.25">
      <c r="A142" s="411" t="s">
        <v>28</v>
      </c>
      <c r="B142" s="436">
        <f>SUM(B143:B145)</f>
        <v>65000</v>
      </c>
      <c r="C142" s="412">
        <f t="shared" ref="C142:I142" si="43">SUM(C143:C145)</f>
        <v>5000</v>
      </c>
      <c r="D142" s="412">
        <f t="shared" si="43"/>
        <v>60000</v>
      </c>
      <c r="E142" s="442">
        <f t="shared" si="43"/>
        <v>0</v>
      </c>
      <c r="F142" s="436">
        <f t="shared" si="43"/>
        <v>0</v>
      </c>
      <c r="G142" s="412">
        <f t="shared" si="43"/>
        <v>0</v>
      </c>
      <c r="H142" s="412">
        <f t="shared" si="43"/>
        <v>0</v>
      </c>
      <c r="I142" s="442">
        <f t="shared" si="43"/>
        <v>0</v>
      </c>
      <c r="J142" s="436">
        <f t="shared" si="30"/>
        <v>0</v>
      </c>
      <c r="K142" s="412">
        <f>SUM(K143:K145)</f>
        <v>0</v>
      </c>
      <c r="L142" s="412">
        <f>SUM(L143:L145)</f>
        <v>0</v>
      </c>
      <c r="M142" s="442">
        <f>SUM(M143:M145)</f>
        <v>0</v>
      </c>
      <c r="N142" s="436">
        <f t="shared" si="31"/>
        <v>40000</v>
      </c>
      <c r="O142" s="412">
        <f>SUM(O143:O145)</f>
        <v>40000</v>
      </c>
      <c r="P142" s="412">
        <f>SUM(P143:P145)</f>
        <v>0</v>
      </c>
      <c r="Q142" s="442">
        <f>SUM(Q143:Q145)</f>
        <v>0</v>
      </c>
      <c r="R142" s="436">
        <f t="shared" ref="R142:R144" si="44">SUM(S142:U142)</f>
        <v>0</v>
      </c>
      <c r="S142" s="412">
        <f>SUM(S143:S145)</f>
        <v>0</v>
      </c>
      <c r="T142" s="412">
        <f>SUM(T143:T145)</f>
        <v>0</v>
      </c>
      <c r="U142" s="442">
        <f>SUM(U143:U145)</f>
        <v>0</v>
      </c>
      <c r="V142" s="436">
        <f t="shared" ref="V142:V144" si="45">SUM(W142:Y142)</f>
        <v>0</v>
      </c>
      <c r="W142" s="412">
        <f>SUM(W143:W145)</f>
        <v>0</v>
      </c>
      <c r="X142" s="412">
        <f>SUM(X143:X145)</f>
        <v>0</v>
      </c>
      <c r="Y142" s="442">
        <f>SUM(Y143:Y145)</f>
        <v>0</v>
      </c>
    </row>
    <row r="143" spans="1:26" ht="12.75" customHeight="1" x14ac:dyDescent="0.25">
      <c r="A143" s="414" t="s">
        <v>30</v>
      </c>
      <c r="B143" s="438">
        <f>SUM(C143:E143)</f>
        <v>5000</v>
      </c>
      <c r="C143" s="415">
        <v>5000</v>
      </c>
      <c r="D143" s="415">
        <v>0</v>
      </c>
      <c r="E143" s="443">
        <v>0</v>
      </c>
      <c r="F143" s="438">
        <f>SUM(G143:I143)</f>
        <v>0</v>
      </c>
      <c r="G143" s="415">
        <v>0</v>
      </c>
      <c r="H143" s="415">
        <v>0</v>
      </c>
      <c r="I143" s="443">
        <v>0</v>
      </c>
      <c r="J143" s="438">
        <f t="shared" si="30"/>
        <v>0</v>
      </c>
      <c r="K143" s="415">
        <v>0</v>
      </c>
      <c r="L143" s="415">
        <v>0</v>
      </c>
      <c r="M143" s="443">
        <v>0</v>
      </c>
      <c r="N143" s="438">
        <f t="shared" si="31"/>
        <v>40000</v>
      </c>
      <c r="O143" s="415">
        <v>40000</v>
      </c>
      <c r="P143" s="415">
        <v>0</v>
      </c>
      <c r="Q143" s="443">
        <v>0</v>
      </c>
      <c r="R143" s="438">
        <f t="shared" si="44"/>
        <v>0</v>
      </c>
      <c r="S143" s="415">
        <v>0</v>
      </c>
      <c r="T143" s="415">
        <v>0</v>
      </c>
      <c r="U143" s="443">
        <v>0</v>
      </c>
      <c r="V143" s="438">
        <f t="shared" si="45"/>
        <v>0</v>
      </c>
      <c r="W143" s="415">
        <v>0</v>
      </c>
      <c r="X143" s="415">
        <v>0</v>
      </c>
      <c r="Y143" s="443">
        <v>0</v>
      </c>
      <c r="Z143" s="421"/>
    </row>
    <row r="144" spans="1:26" ht="12.75" hidden="1" customHeight="1" x14ac:dyDescent="0.25">
      <c r="A144" s="414" t="s">
        <v>31</v>
      </c>
      <c r="B144" s="438">
        <f>SUM(C144:E144)</f>
        <v>60000</v>
      </c>
      <c r="C144" s="415">
        <v>0</v>
      </c>
      <c r="D144" s="415">
        <v>60000</v>
      </c>
      <c r="E144" s="443">
        <v>0</v>
      </c>
      <c r="F144" s="438">
        <v>0</v>
      </c>
      <c r="G144" s="415">
        <v>0</v>
      </c>
      <c r="H144" s="415">
        <v>0</v>
      </c>
      <c r="I144" s="443">
        <v>0</v>
      </c>
      <c r="J144" s="438">
        <f t="shared" si="30"/>
        <v>0</v>
      </c>
      <c r="K144" s="415">
        <v>0</v>
      </c>
      <c r="L144" s="415">
        <v>0</v>
      </c>
      <c r="M144" s="443">
        <v>0</v>
      </c>
      <c r="N144" s="438">
        <f t="shared" si="31"/>
        <v>0</v>
      </c>
      <c r="O144" s="415">
        <v>0</v>
      </c>
      <c r="P144" s="415">
        <v>0</v>
      </c>
      <c r="Q144" s="443">
        <v>0</v>
      </c>
      <c r="R144" s="438">
        <f t="shared" si="44"/>
        <v>0</v>
      </c>
      <c r="S144" s="415">
        <v>0</v>
      </c>
      <c r="T144" s="415">
        <v>0</v>
      </c>
      <c r="U144" s="443">
        <v>0</v>
      </c>
      <c r="V144" s="438">
        <f t="shared" si="45"/>
        <v>0</v>
      </c>
      <c r="W144" s="415">
        <v>0</v>
      </c>
      <c r="X144" s="415">
        <v>0</v>
      </c>
      <c r="Y144" s="443">
        <v>0</v>
      </c>
    </row>
    <row r="145" spans="1:36" ht="12.75" hidden="1" customHeight="1" x14ac:dyDescent="0.25">
      <c r="A145" s="414"/>
      <c r="B145" s="438"/>
      <c r="C145" s="415"/>
      <c r="D145" s="415"/>
      <c r="E145" s="443"/>
      <c r="F145" s="438"/>
      <c r="G145" s="415"/>
      <c r="H145" s="415"/>
      <c r="I145" s="443"/>
      <c r="J145" s="438"/>
      <c r="K145" s="415"/>
      <c r="M145" s="443"/>
      <c r="N145" s="438"/>
      <c r="O145" s="415"/>
      <c r="Q145" s="443"/>
      <c r="R145" s="438"/>
      <c r="S145" s="415"/>
      <c r="U145" s="443"/>
      <c r="V145" s="438"/>
      <c r="W145" s="415"/>
      <c r="Y145" s="443"/>
    </row>
    <row r="146" spans="1:36" ht="12.75" customHeight="1" x14ac:dyDescent="0.25">
      <c r="A146" s="411" t="s">
        <v>32</v>
      </c>
      <c r="B146" s="436">
        <f t="shared" ref="B146:I146" si="46">SUM(B147:B149)</f>
        <v>188854</v>
      </c>
      <c r="C146" s="412">
        <f t="shared" si="46"/>
        <v>166294</v>
      </c>
      <c r="D146" s="412">
        <f t="shared" si="46"/>
        <v>22500</v>
      </c>
      <c r="E146" s="442">
        <f t="shared" si="46"/>
        <v>60</v>
      </c>
      <c r="F146" s="436">
        <f t="shared" si="46"/>
        <v>189139</v>
      </c>
      <c r="G146" s="412">
        <f t="shared" si="46"/>
        <v>166294</v>
      </c>
      <c r="H146" s="412">
        <f t="shared" si="46"/>
        <v>22725</v>
      </c>
      <c r="I146" s="442">
        <f t="shared" si="46"/>
        <v>120</v>
      </c>
      <c r="J146" s="436">
        <f t="shared" si="30"/>
        <v>203720</v>
      </c>
      <c r="K146" s="412">
        <f>SUM(K147:K149)</f>
        <v>166294</v>
      </c>
      <c r="L146" s="412">
        <f>SUM(L147:L149)</f>
        <v>37306</v>
      </c>
      <c r="M146" s="442">
        <f>SUM(M147:M149)</f>
        <v>120</v>
      </c>
      <c r="N146" s="436">
        <f t="shared" si="31"/>
        <v>214661.63200000001</v>
      </c>
      <c r="O146" s="412">
        <f>SUM(O147:O149)</f>
        <v>174991.63200000001</v>
      </c>
      <c r="P146" s="412">
        <f>SUM(P147:P149)</f>
        <v>39550</v>
      </c>
      <c r="Q146" s="442">
        <f>SUM(Q147:Q149)</f>
        <v>120</v>
      </c>
      <c r="R146" s="436">
        <f t="shared" ref="R146:R149" si="47">SUM(S146:U146)</f>
        <v>212797</v>
      </c>
      <c r="S146" s="412">
        <f>SUM(S147:S149)</f>
        <v>169727</v>
      </c>
      <c r="T146" s="412">
        <f>SUM(T147:T149)</f>
        <v>42950</v>
      </c>
      <c r="U146" s="442">
        <f>SUM(U147:U149)</f>
        <v>120</v>
      </c>
      <c r="V146" s="436">
        <f t="shared" ref="V146:V149" si="48">SUM(W146:Y146)</f>
        <v>226146</v>
      </c>
      <c r="W146" s="412">
        <f>SUM(W147:W149)</f>
        <v>164300</v>
      </c>
      <c r="X146" s="412">
        <f>SUM(X147:X149)</f>
        <v>46226</v>
      </c>
      <c r="Y146" s="442">
        <f>SUM(Y147:Y149)</f>
        <v>15620</v>
      </c>
    </row>
    <row r="147" spans="1:36" ht="12.75" customHeight="1" x14ac:dyDescent="0.25">
      <c r="A147" s="414" t="s">
        <v>34</v>
      </c>
      <c r="B147" s="438">
        <f>SUM(C147:E147)</f>
        <v>13900</v>
      </c>
      <c r="C147" s="415">
        <v>1200</v>
      </c>
      <c r="D147" s="415">
        <v>12700</v>
      </c>
      <c r="E147" s="443">
        <v>0</v>
      </c>
      <c r="F147" s="438">
        <f>SUM(G147:I147)</f>
        <v>14027</v>
      </c>
      <c r="G147" s="415">
        <v>1200</v>
      </c>
      <c r="H147" s="415">
        <v>12827</v>
      </c>
      <c r="I147" s="443">
        <v>0</v>
      </c>
      <c r="J147" s="438">
        <f t="shared" si="30"/>
        <v>24200</v>
      </c>
      <c r="K147" s="415">
        <v>1200</v>
      </c>
      <c r="L147" s="415">
        <f>Budget_CfgOA_2023!S106</f>
        <v>23000</v>
      </c>
      <c r="M147" s="443">
        <v>0</v>
      </c>
      <c r="N147" s="438">
        <f t="shared" si="31"/>
        <v>26591.632000000001</v>
      </c>
      <c r="O147" s="415">
        <f>1265.12*1.1</f>
        <v>1391.6320000000001</v>
      </c>
      <c r="P147" s="415">
        <f>Budget_CfgOA_2024!D89</f>
        <v>25200</v>
      </c>
      <c r="Q147" s="443">
        <f>Budget_VROA_2024!B92</f>
        <v>0</v>
      </c>
      <c r="R147" s="438">
        <f t="shared" si="47"/>
        <v>30027</v>
      </c>
      <c r="S147" s="415">
        <v>1427</v>
      </c>
      <c r="T147" s="415">
        <v>28600</v>
      </c>
      <c r="U147" s="443">
        <v>0</v>
      </c>
      <c r="V147" s="438">
        <f t="shared" si="48"/>
        <v>47124</v>
      </c>
      <c r="W147" s="415">
        <v>0</v>
      </c>
      <c r="X147" s="415">
        <v>31624</v>
      </c>
      <c r="Y147" s="443">
        <v>15500</v>
      </c>
    </row>
    <row r="148" spans="1:36" ht="12.75" customHeight="1" x14ac:dyDescent="0.25">
      <c r="A148" s="414" t="s">
        <v>35</v>
      </c>
      <c r="B148" s="438">
        <f>SUM(C148:E148)</f>
        <v>160094</v>
      </c>
      <c r="C148" s="415">
        <v>160094</v>
      </c>
      <c r="D148" s="415">
        <v>0</v>
      </c>
      <c r="E148" s="443">
        <v>0</v>
      </c>
      <c r="F148" s="438">
        <f>SUM(G148:I148)</f>
        <v>160094</v>
      </c>
      <c r="G148" s="415">
        <v>160094</v>
      </c>
      <c r="H148" s="415">
        <v>0</v>
      </c>
      <c r="I148" s="443">
        <v>0</v>
      </c>
      <c r="J148" s="438">
        <f t="shared" si="30"/>
        <v>160094</v>
      </c>
      <c r="K148" s="415">
        <v>160094</v>
      </c>
      <c r="L148" s="415">
        <v>0</v>
      </c>
      <c r="M148" s="443">
        <v>0</v>
      </c>
      <c r="N148" s="438">
        <f t="shared" si="31"/>
        <v>169600</v>
      </c>
      <c r="O148" s="415">
        <f>GETPIVOTDATA("AMOUNT",'draaitabel kosten  23'!$A$3,"rubriek in globaal budget","Reprobel")</f>
        <v>169600</v>
      </c>
      <c r="P148" s="415">
        <v>0</v>
      </c>
      <c r="Q148" s="443">
        <v>0</v>
      </c>
      <c r="R148" s="438">
        <f t="shared" si="47"/>
        <v>164300</v>
      </c>
      <c r="S148" s="415">
        <v>164300</v>
      </c>
      <c r="T148" s="415">
        <v>0</v>
      </c>
      <c r="U148" s="443">
        <v>0</v>
      </c>
      <c r="V148" s="438">
        <f t="shared" si="48"/>
        <v>164300</v>
      </c>
      <c r="W148" s="415">
        <v>164300</v>
      </c>
      <c r="X148" s="415">
        <v>0</v>
      </c>
      <c r="Y148" s="443">
        <v>0</v>
      </c>
      <c r="Z148" s="420"/>
    </row>
    <row r="149" spans="1:36" ht="12.75" customHeight="1" x14ac:dyDescent="0.25">
      <c r="A149" s="414" t="s">
        <v>36</v>
      </c>
      <c r="B149" s="438">
        <f>SUM(C149:E149)</f>
        <v>14860</v>
      </c>
      <c r="C149" s="415">
        <v>5000</v>
      </c>
      <c r="D149" s="415">
        <v>9800</v>
      </c>
      <c r="E149" s="443">
        <v>60</v>
      </c>
      <c r="F149" s="438">
        <f>SUM(G149:I149)</f>
        <v>15018</v>
      </c>
      <c r="G149" s="415">
        <v>5000</v>
      </c>
      <c r="H149" s="415">
        <v>9898</v>
      </c>
      <c r="I149" s="443">
        <v>120</v>
      </c>
      <c r="J149" s="438">
        <f t="shared" si="30"/>
        <v>19426</v>
      </c>
      <c r="K149" s="415">
        <v>5000</v>
      </c>
      <c r="L149" s="415">
        <f>Budget_CfgOA_2023!S108+Budget_CfgOA_2023!S107</f>
        <v>14306</v>
      </c>
      <c r="M149" s="443">
        <f>Budget_VROA_2023!B91</f>
        <v>120</v>
      </c>
      <c r="N149" s="438">
        <f t="shared" si="31"/>
        <v>18470</v>
      </c>
      <c r="O149" s="415">
        <f>CEILING(GETPIVOTDATA("AMOUNT",'draaitabel kosten  23'!$A$3,"rubriek in globaal budget","Taxes provinciales &amp; communales"),1000)</f>
        <v>4000</v>
      </c>
      <c r="P149" s="415">
        <f>Budget_CfgOA_2024!D91+Budget_CfgOA_2024!D90</f>
        <v>14350</v>
      </c>
      <c r="Q149" s="443">
        <f>Budget_VROA_2024!B93</f>
        <v>120</v>
      </c>
      <c r="R149" s="438">
        <f t="shared" si="47"/>
        <v>18470</v>
      </c>
      <c r="S149" s="415">
        <v>4000</v>
      </c>
      <c r="T149" s="415">
        <v>14350</v>
      </c>
      <c r="U149" s="443">
        <v>120</v>
      </c>
      <c r="V149" s="438">
        <f t="shared" si="48"/>
        <v>14722</v>
      </c>
      <c r="W149" s="415">
        <v>0</v>
      </c>
      <c r="X149" s="415">
        <v>14602</v>
      </c>
      <c r="Y149" s="443">
        <v>120</v>
      </c>
    </row>
    <row r="150" spans="1:36" ht="12.75" customHeight="1" x14ac:dyDescent="0.25">
      <c r="A150" s="411" t="s">
        <v>38</v>
      </c>
      <c r="B150" s="436">
        <f t="shared" ref="B150:I150" si="49">SUM(B151:B153)</f>
        <v>2800</v>
      </c>
      <c r="C150" s="412">
        <f t="shared" si="49"/>
        <v>0</v>
      </c>
      <c r="D150" s="412">
        <f t="shared" si="49"/>
        <v>650</v>
      </c>
      <c r="E150" s="442">
        <f t="shared" si="49"/>
        <v>2150</v>
      </c>
      <c r="F150" s="436">
        <f t="shared" si="49"/>
        <v>7157</v>
      </c>
      <c r="G150" s="412">
        <f t="shared" si="49"/>
        <v>500</v>
      </c>
      <c r="H150" s="412">
        <f t="shared" si="49"/>
        <v>2657</v>
      </c>
      <c r="I150" s="442">
        <f t="shared" si="49"/>
        <v>4000</v>
      </c>
      <c r="J150" s="436">
        <f t="shared" si="30"/>
        <v>11574.285714285714</v>
      </c>
      <c r="K150" s="412">
        <f>SUM(K151:K153)</f>
        <v>500</v>
      </c>
      <c r="L150" s="412">
        <f>SUM(L151:L153)</f>
        <v>2664</v>
      </c>
      <c r="M150" s="442">
        <f>SUM(M151:M153)</f>
        <v>8410.2857142857138</v>
      </c>
      <c r="N150" s="436">
        <f t="shared" si="31"/>
        <v>10164</v>
      </c>
      <c r="O150" s="412">
        <f>SUM(O151:O153)</f>
        <v>500</v>
      </c>
      <c r="P150" s="412">
        <f>SUM(P151:P153)</f>
        <v>1664</v>
      </c>
      <c r="Q150" s="442">
        <f>SUM(Q151:Q153)</f>
        <v>8000</v>
      </c>
      <c r="R150" s="436">
        <f t="shared" ref="R150:R153" si="50">SUM(S150:U150)</f>
        <v>10500</v>
      </c>
      <c r="S150" s="412">
        <f>SUM(S151:S153)</f>
        <v>500</v>
      </c>
      <c r="T150" s="412">
        <f>SUM(T151:T153)</f>
        <v>2000</v>
      </c>
      <c r="U150" s="442">
        <f>SUM(U151:U153)</f>
        <v>8000</v>
      </c>
      <c r="V150" s="436">
        <f t="shared" ref="V150:V153" si="51">SUM(W150:Y150)</f>
        <v>11100</v>
      </c>
      <c r="W150" s="412">
        <f>SUM(W151:W153)</f>
        <v>200</v>
      </c>
      <c r="X150" s="412">
        <f>SUM(X151:X153)</f>
        <v>2400</v>
      </c>
      <c r="Y150" s="442">
        <f>SUM(Y151:Y153)</f>
        <v>8500</v>
      </c>
    </row>
    <row r="151" spans="1:36" ht="12.75" customHeight="1" x14ac:dyDescent="0.25">
      <c r="A151" s="414" t="s">
        <v>1038</v>
      </c>
      <c r="B151" s="438">
        <f>SUM(C151:E151)</f>
        <v>2350</v>
      </c>
      <c r="C151" s="415">
        <v>0</v>
      </c>
      <c r="D151" s="415">
        <v>650</v>
      </c>
      <c r="E151" s="443">
        <v>1700</v>
      </c>
      <c r="F151" s="438">
        <f>SUM(G151:I151)</f>
        <v>2857</v>
      </c>
      <c r="G151" s="415">
        <v>500</v>
      </c>
      <c r="H151" s="415">
        <v>657</v>
      </c>
      <c r="I151" s="443">
        <v>1700</v>
      </c>
      <c r="J151" s="438">
        <f t="shared" si="30"/>
        <v>9574.2857142857138</v>
      </c>
      <c r="K151" s="415">
        <f>+G151</f>
        <v>500</v>
      </c>
      <c r="L151" s="415">
        <f>Budget_CfgOA_2023!S110</f>
        <v>664</v>
      </c>
      <c r="M151" s="443">
        <f>Budget_VROA_2023!B93</f>
        <v>8410.2857142857138</v>
      </c>
      <c r="N151" s="438">
        <f t="shared" si="31"/>
        <v>9164</v>
      </c>
      <c r="O151" s="415">
        <f>+K151</f>
        <v>500</v>
      </c>
      <c r="P151" s="415">
        <f>Budget_CfgOA_2024!D93</f>
        <v>664</v>
      </c>
      <c r="Q151" s="443">
        <f>Budget_VROA_2024!B95</f>
        <v>8000</v>
      </c>
      <c r="R151" s="438">
        <f t="shared" si="50"/>
        <v>9500</v>
      </c>
      <c r="S151" s="415">
        <v>500</v>
      </c>
      <c r="T151" s="415">
        <v>1000</v>
      </c>
      <c r="U151" s="443">
        <v>8000</v>
      </c>
      <c r="V151" s="438">
        <f t="shared" si="51"/>
        <v>4700</v>
      </c>
      <c r="W151" s="415">
        <v>200</v>
      </c>
      <c r="X151" s="415">
        <v>1000</v>
      </c>
      <c r="Y151" s="443">
        <v>3500</v>
      </c>
    </row>
    <row r="152" spans="1:36" ht="12.75" customHeight="1" x14ac:dyDescent="0.25">
      <c r="A152" s="414" t="s">
        <v>39</v>
      </c>
      <c r="B152" s="438">
        <f>SUM(C152:E152)</f>
        <v>0</v>
      </c>
      <c r="C152" s="415">
        <v>0</v>
      </c>
      <c r="D152" s="415">
        <v>0</v>
      </c>
      <c r="E152" s="443">
        <v>0</v>
      </c>
      <c r="F152" s="438">
        <f>SUM(G152:I152)</f>
        <v>4300</v>
      </c>
      <c r="G152" s="415">
        <v>0</v>
      </c>
      <c r="H152" s="415">
        <v>2000</v>
      </c>
      <c r="I152" s="443">
        <v>2300</v>
      </c>
      <c r="J152" s="438">
        <f t="shared" si="30"/>
        <v>2000</v>
      </c>
      <c r="K152" s="415">
        <f>+G152</f>
        <v>0</v>
      </c>
      <c r="L152" s="415">
        <f>Budget_CfgOA_2023!S111</f>
        <v>2000</v>
      </c>
      <c r="M152" s="443">
        <v>0</v>
      </c>
      <c r="N152" s="438">
        <f t="shared" si="31"/>
        <v>1000</v>
      </c>
      <c r="O152" s="415">
        <f>+K152</f>
        <v>0</v>
      </c>
      <c r="P152" s="415">
        <f>Budget_CfgOA_2024!D94</f>
        <v>1000</v>
      </c>
      <c r="Q152" s="443">
        <v>0</v>
      </c>
      <c r="R152" s="438">
        <f t="shared" si="50"/>
        <v>1000</v>
      </c>
      <c r="S152" s="415">
        <v>0</v>
      </c>
      <c r="T152" s="415">
        <v>1000</v>
      </c>
      <c r="U152" s="443">
        <v>0</v>
      </c>
      <c r="V152" s="438">
        <f t="shared" si="51"/>
        <v>200</v>
      </c>
      <c r="W152" s="415">
        <v>0</v>
      </c>
      <c r="X152" s="415">
        <v>200</v>
      </c>
      <c r="Y152" s="443">
        <v>0</v>
      </c>
    </row>
    <row r="153" spans="1:36" ht="12.75" customHeight="1" x14ac:dyDescent="0.25">
      <c r="A153" s="414" t="s">
        <v>40</v>
      </c>
      <c r="B153" s="438">
        <f>SUM(C153:E153)</f>
        <v>450</v>
      </c>
      <c r="C153" s="415">
        <v>0</v>
      </c>
      <c r="D153" s="415">
        <v>0</v>
      </c>
      <c r="E153" s="443">
        <v>450</v>
      </c>
      <c r="F153" s="438">
        <f>SUM(G153:I153)</f>
        <v>0</v>
      </c>
      <c r="G153" s="415">
        <v>0</v>
      </c>
      <c r="H153" s="415">
        <v>0</v>
      </c>
      <c r="I153" s="443">
        <v>0</v>
      </c>
      <c r="J153" s="438">
        <f t="shared" si="30"/>
        <v>0</v>
      </c>
      <c r="K153" s="415">
        <f>+G153</f>
        <v>0</v>
      </c>
      <c r="L153" s="415">
        <f>Budget_CfgOA_2023!S112</f>
        <v>0</v>
      </c>
      <c r="M153" s="443">
        <v>0</v>
      </c>
      <c r="N153" s="438">
        <f t="shared" si="31"/>
        <v>0</v>
      </c>
      <c r="O153" s="415">
        <f>+K153</f>
        <v>0</v>
      </c>
      <c r="P153" s="415">
        <f>Budget_CfgOA_2024!D95</f>
        <v>0</v>
      </c>
      <c r="Q153" s="443">
        <f>Budget_VROA_2024!B96</f>
        <v>0</v>
      </c>
      <c r="R153" s="438">
        <f t="shared" si="50"/>
        <v>0</v>
      </c>
      <c r="S153" s="415">
        <v>0</v>
      </c>
      <c r="T153" s="415">
        <v>0</v>
      </c>
      <c r="U153" s="443">
        <v>0</v>
      </c>
      <c r="V153" s="438">
        <f t="shared" si="51"/>
        <v>6200</v>
      </c>
      <c r="W153" s="415">
        <v>0</v>
      </c>
      <c r="X153" s="415">
        <v>1200</v>
      </c>
      <c r="Y153" s="443">
        <v>5000</v>
      </c>
    </row>
    <row r="154" spans="1:36" ht="12.75" customHeight="1" x14ac:dyDescent="0.25">
      <c r="A154" s="411" t="s">
        <v>41</v>
      </c>
      <c r="B154" s="436"/>
      <c r="C154" s="412"/>
      <c r="D154" s="412">
        <v>231222</v>
      </c>
      <c r="E154" s="442">
        <v>300322</v>
      </c>
      <c r="F154" s="436"/>
      <c r="G154" s="412"/>
      <c r="H154" s="412">
        <v>295045</v>
      </c>
      <c r="I154" s="442">
        <v>383219</v>
      </c>
      <c r="J154" s="436">
        <f t="shared" si="30"/>
        <v>664390</v>
      </c>
      <c r="K154" s="412"/>
      <c r="L154" s="413">
        <f>L168</f>
        <v>279044</v>
      </c>
      <c r="M154" s="442">
        <f>L169</f>
        <v>385346</v>
      </c>
      <c r="N154" s="436">
        <f t="shared" si="31"/>
        <v>568082</v>
      </c>
      <c r="O154" s="412"/>
      <c r="P154" s="413">
        <f>P168</f>
        <v>234902</v>
      </c>
      <c r="Q154" s="442">
        <f>P169</f>
        <v>333180</v>
      </c>
      <c r="R154" s="436">
        <f t="shared" ref="R154" si="52">SUM(S154:U154)</f>
        <v>403440</v>
      </c>
      <c r="S154" s="412"/>
      <c r="T154" s="413">
        <f>T168</f>
        <v>167831</v>
      </c>
      <c r="U154" s="442">
        <f>T169</f>
        <v>235609</v>
      </c>
      <c r="V154" s="436">
        <f t="shared" ref="V154" si="53">SUM(W154:Y154)</f>
        <v>405250</v>
      </c>
      <c r="W154" s="412"/>
      <c r="X154" s="413">
        <f>X168</f>
        <v>171016</v>
      </c>
      <c r="Y154" s="442">
        <f>X169</f>
        <v>234234</v>
      </c>
      <c r="Z154" s="475"/>
    </row>
    <row r="155" spans="1:36" ht="12.75" customHeight="1" x14ac:dyDescent="0.25">
      <c r="A155" s="414"/>
      <c r="B155" s="438"/>
      <c r="C155" s="415"/>
      <c r="D155" s="415" t="s">
        <v>1032</v>
      </c>
      <c r="E155" s="443" t="s">
        <v>1033</v>
      </c>
      <c r="F155" s="438"/>
      <c r="G155" s="415"/>
      <c r="H155" s="415" t="s">
        <v>1032</v>
      </c>
      <c r="I155" s="443" t="s">
        <v>1033</v>
      </c>
      <c r="J155" s="476"/>
      <c r="K155" s="415"/>
      <c r="L155" s="481">
        <f>+L164/J164</f>
        <v>0.42465911300952969</v>
      </c>
      <c r="M155" s="482">
        <f>+M164/J164</f>
        <v>0.57534088699047026</v>
      </c>
      <c r="N155" s="476"/>
      <c r="O155" s="415"/>
      <c r="P155" s="425">
        <v>0.41349999999999998</v>
      </c>
      <c r="Q155" s="450">
        <v>0.58650000000000002</v>
      </c>
      <c r="R155" s="476"/>
      <c r="S155" s="415"/>
      <c r="T155" s="501">
        <f>ROUND(T168/T170,3)</f>
        <v>0.41599999999999998</v>
      </c>
      <c r="U155" s="503">
        <f>ROUND(T169/T170,3)</f>
        <v>0.58399999999999996</v>
      </c>
      <c r="V155" s="476"/>
      <c r="W155" s="415"/>
      <c r="X155" s="501"/>
      <c r="Y155" s="503"/>
    </row>
    <row r="156" spans="1:36" ht="16.2" customHeight="1" thickBot="1" x14ac:dyDescent="0.3">
      <c r="A156" s="426" t="s">
        <v>379</v>
      </c>
      <c r="B156" s="446">
        <f t="shared" ref="B156:I156" si="54">+B150+B146+B142+B134+B121+B117+B96+B81+B72+B47+B41+B31+B17+B3+B154</f>
        <v>7225849</v>
      </c>
      <c r="C156" s="447">
        <f t="shared" si="54"/>
        <v>531544</v>
      </c>
      <c r="D156" s="448">
        <f t="shared" si="54"/>
        <v>3136064</v>
      </c>
      <c r="E156" s="449">
        <f t="shared" si="54"/>
        <v>4089785</v>
      </c>
      <c r="F156" s="446">
        <f t="shared" si="54"/>
        <v>7868148</v>
      </c>
      <c r="G156" s="447">
        <f t="shared" si="54"/>
        <v>678264</v>
      </c>
      <c r="H156" s="448">
        <f t="shared" si="54"/>
        <v>3481963</v>
      </c>
      <c r="I156" s="449">
        <f t="shared" si="54"/>
        <v>4386185</v>
      </c>
      <c r="J156" s="446">
        <f>SUM(L156:M156)</f>
        <v>8115432.6376905348</v>
      </c>
      <c r="K156" s="447">
        <f>+K150+K146+K142+K134+K121+K117+K96+K81+K72+K47+K41+K31+K17+K3+K154</f>
        <v>664390.05000000005</v>
      </c>
      <c r="L156" s="448">
        <f>SUM(L154,L150,L146,L142,L134,L121,L117,L96,L81,L72,L47,L41,L31,L17,L3)</f>
        <v>3456163.9</v>
      </c>
      <c r="M156" s="449">
        <f>SUM(M154,M150,M146,M142,M134,M121,M117,M96,M81,M72,M47,M41,M31,M17,M3)</f>
        <v>4659268.7376905354</v>
      </c>
      <c r="N156" s="446">
        <f>SUM(P156:Q156)</f>
        <v>8545443.9231988508</v>
      </c>
      <c r="O156" s="447">
        <f>+O150+O146+O142+O134+O121+O117+O96+O81+O72+O47+O41+O31+O17+O3+O154</f>
        <v>568081.63199999998</v>
      </c>
      <c r="P156" s="448">
        <f>SUM(P154,P150,P146,P142,P134,P121,P117,P96,P81,P72,P47,P41,P31,P17,P3)</f>
        <v>3591155</v>
      </c>
      <c r="Q156" s="449">
        <f>SUM(Q154,Q150,Q146,Q142,Q134,Q121,Q117,Q96,Q81,Q72,Q47,Q41,Q31,Q17,Q3)</f>
        <v>4954288.9231988508</v>
      </c>
      <c r="R156" s="446">
        <f>SUM(T156:U156)</f>
        <v>8708388</v>
      </c>
      <c r="S156" s="447">
        <f>+S150+S146+S142+S134+S121+S117+S96+S81+S72+S47+S41+S31+S17+S3+S154</f>
        <v>403440</v>
      </c>
      <c r="T156" s="448">
        <f>SUM(T154,T150,T146,T142,T134,T121,T117,T96,T81,T72,T47,T41,T31,T17,T3)</f>
        <v>3624185</v>
      </c>
      <c r="U156" s="449">
        <f>SUM(U154,U150,U146,U142,U134,U121,U117,U96,U81,U72,U47,U41,U31,U17,U3)</f>
        <v>5084203</v>
      </c>
      <c r="V156" s="446">
        <f>SUM(X156:Y156)</f>
        <v>8506695</v>
      </c>
      <c r="W156" s="447">
        <f>+W150+W146+W142+W134+W121+W117+W96+W81+W72+W47+W41+W31+W17+W3+W154</f>
        <v>405250</v>
      </c>
      <c r="X156" s="448">
        <f>SUM(X154,X150,X146,X142,X134,X121,X117,X96,X81,X72,X47,X41,X31,X17,X3)</f>
        <v>3560580</v>
      </c>
      <c r="Y156" s="449">
        <f>SUM(Y154,Y150,Y146,Y142,Y134,Y121,Y117,Y96,Y81,Y72,Y47,Y41,Y31,Y17,Y3)</f>
        <v>4946115</v>
      </c>
    </row>
    <row r="157" spans="1:36" ht="10.8" thickBot="1" x14ac:dyDescent="0.3">
      <c r="M157" s="475"/>
      <c r="U157" s="475"/>
      <c r="Y157" s="475"/>
    </row>
    <row r="158" spans="1:36" x14ac:dyDescent="0.25">
      <c r="A158" s="411" t="s">
        <v>351</v>
      </c>
      <c r="J158" s="455">
        <f t="shared" ref="J158:J161" si="55">SUM(K158:M158)</f>
        <v>10720</v>
      </c>
      <c r="K158" s="456">
        <v>0</v>
      </c>
      <c r="L158" s="456">
        <f>SUM(L160:L161)</f>
        <v>720</v>
      </c>
      <c r="M158" s="457">
        <f>SUM(M160:M161)</f>
        <v>10000</v>
      </c>
      <c r="N158" s="455">
        <f t="shared" ref="N158:N161" si="56">SUM(O158:Q158)</f>
        <v>20565.866666666669</v>
      </c>
      <c r="O158" s="456">
        <v>0</v>
      </c>
      <c r="P158" s="456">
        <f>SUM(P160:P161)</f>
        <v>12899.6</v>
      </c>
      <c r="Q158" s="457">
        <f>SUM(Q160:Q161)</f>
        <v>7666.2666666666664</v>
      </c>
      <c r="R158" s="455">
        <f t="shared" ref="R158:R161" si="57">SUM(S158:U158)</f>
        <v>75400</v>
      </c>
      <c r="S158" s="456">
        <v>0</v>
      </c>
      <c r="T158" s="456">
        <f>SUM(T159:T161)</f>
        <v>27900</v>
      </c>
      <c r="U158" s="457">
        <f>SUM(U159:U161)</f>
        <v>47500</v>
      </c>
      <c r="V158" s="455">
        <f t="shared" ref="V158:V161" si="58">SUM(W158:Y158)</f>
        <v>69217</v>
      </c>
      <c r="W158" s="456">
        <v>0</v>
      </c>
      <c r="X158" s="456">
        <f>SUM(X159:X161)</f>
        <v>29617</v>
      </c>
      <c r="Y158" s="457">
        <f>SUM(Y159:Y161)</f>
        <v>39600</v>
      </c>
    </row>
    <row r="159" spans="1:36" x14ac:dyDescent="0.25">
      <c r="A159" s="414" t="s">
        <v>1045</v>
      </c>
      <c r="J159" s="438"/>
      <c r="K159" s="415"/>
      <c r="L159" s="415"/>
      <c r="M159" s="443"/>
      <c r="N159" s="438">
        <f t="shared" si="56"/>
        <v>0</v>
      </c>
      <c r="O159" s="415">
        <v>0</v>
      </c>
      <c r="P159" s="415">
        <v>0</v>
      </c>
      <c r="Q159" s="443">
        <v>0</v>
      </c>
      <c r="R159" s="438">
        <f t="shared" si="57"/>
        <v>30000</v>
      </c>
      <c r="S159" s="415">
        <v>0</v>
      </c>
      <c r="T159" s="415">
        <v>0</v>
      </c>
      <c r="U159" s="443">
        <v>30000</v>
      </c>
      <c r="V159" s="438">
        <f t="shared" si="58"/>
        <v>9000</v>
      </c>
      <c r="W159" s="415">
        <v>0</v>
      </c>
      <c r="X159" s="415">
        <v>0</v>
      </c>
      <c r="Y159" s="443">
        <v>9000</v>
      </c>
    </row>
    <row r="160" spans="1:36" x14ac:dyDescent="0.25">
      <c r="A160" s="414" t="s">
        <v>352</v>
      </c>
      <c r="J160" s="438">
        <f t="shared" si="55"/>
        <v>0</v>
      </c>
      <c r="K160" s="415">
        <v>0</v>
      </c>
      <c r="L160" s="415">
        <f>Budget_CfgOA_2024!C105</f>
        <v>0</v>
      </c>
      <c r="M160" s="443">
        <f>Budget_VROA_2023!B103</f>
        <v>0</v>
      </c>
      <c r="N160" s="438">
        <f t="shared" si="56"/>
        <v>9990.373333333333</v>
      </c>
      <c r="O160" s="415">
        <v>0</v>
      </c>
      <c r="P160" s="415">
        <f>Budget_CfgOA_2024!D105</f>
        <v>8000</v>
      </c>
      <c r="Q160" s="443">
        <f>-Budget_VROA_2024!B105</f>
        <v>1990.3733333333334</v>
      </c>
      <c r="R160" s="438">
        <f t="shared" si="57"/>
        <v>18000</v>
      </c>
      <c r="S160" s="415">
        <v>0</v>
      </c>
      <c r="T160" s="415">
        <v>8000</v>
      </c>
      <c r="U160" s="443">
        <v>10000</v>
      </c>
      <c r="V160" s="438">
        <f t="shared" si="58"/>
        <v>23000</v>
      </c>
      <c r="W160" s="415">
        <v>0</v>
      </c>
      <c r="X160" s="415">
        <v>8000</v>
      </c>
      <c r="Y160" s="443">
        <v>15000</v>
      </c>
    </row>
    <row r="161" spans="1:26" ht="10.8" thickBot="1" x14ac:dyDescent="0.3">
      <c r="A161" s="414" t="s">
        <v>351</v>
      </c>
      <c r="J161" s="458">
        <f t="shared" si="55"/>
        <v>10720</v>
      </c>
      <c r="K161" s="430">
        <v>0</v>
      </c>
      <c r="L161" s="430">
        <f>Budget_CfgOA_2024!C104</f>
        <v>720</v>
      </c>
      <c r="M161" s="459">
        <f>Budget_VROA_2023!B104</f>
        <v>10000</v>
      </c>
      <c r="N161" s="458">
        <f t="shared" si="56"/>
        <v>10575.493333333334</v>
      </c>
      <c r="O161" s="430">
        <v>0</v>
      </c>
      <c r="P161" s="430">
        <f>Budget_CfgOA_2024!D104</f>
        <v>4899.6000000000004</v>
      </c>
      <c r="Q161" s="459">
        <f>-Budget_VROA_2024!B106</f>
        <v>5675.8933333333334</v>
      </c>
      <c r="R161" s="458">
        <f t="shared" si="57"/>
        <v>27400</v>
      </c>
      <c r="S161" s="430">
        <v>0</v>
      </c>
      <c r="T161" s="430">
        <v>19900</v>
      </c>
      <c r="U161" s="459">
        <v>7500</v>
      </c>
      <c r="V161" s="458">
        <f t="shared" si="58"/>
        <v>37217</v>
      </c>
      <c r="W161" s="430">
        <v>0</v>
      </c>
      <c r="X161" s="415">
        <v>21617</v>
      </c>
      <c r="Y161" s="443">
        <v>15600</v>
      </c>
    </row>
    <row r="162" spans="1:26" x14ac:dyDescent="0.25">
      <c r="A162" s="411" t="s">
        <v>1047</v>
      </c>
      <c r="J162" s="455">
        <f t="shared" ref="J162" si="59">SUM(K162:M162)</f>
        <v>7635595</v>
      </c>
      <c r="K162" s="456">
        <v>0</v>
      </c>
      <c r="L162" s="456">
        <f>SUM(L164:L165)</f>
        <v>3242525</v>
      </c>
      <c r="M162" s="457">
        <f>SUM(M164:M165)</f>
        <v>4393070</v>
      </c>
      <c r="N162" s="498">
        <f t="shared" ref="N162" si="60">SUM(O162:Q162)</f>
        <v>7696040</v>
      </c>
      <c r="O162" s="499">
        <v>0</v>
      </c>
      <c r="P162" s="499">
        <v>3247200</v>
      </c>
      <c r="Q162" s="500">
        <v>4448840</v>
      </c>
      <c r="R162" s="498">
        <f t="shared" ref="R162" si="61">SUM(S162:U162)</f>
        <v>8003855</v>
      </c>
      <c r="S162" s="499">
        <v>0</v>
      </c>
      <c r="T162" s="499">
        <f>+U176</f>
        <v>3345865</v>
      </c>
      <c r="U162" s="500">
        <f>+U182</f>
        <v>4657990</v>
      </c>
      <c r="V162" s="498">
        <f t="shared" ref="V162" si="62">SUM(W162:Y162)</f>
        <v>8021450</v>
      </c>
      <c r="W162" s="499">
        <v>0</v>
      </c>
      <c r="X162" s="499">
        <f>+Y176</f>
        <v>3383405</v>
      </c>
      <c r="Y162" s="500">
        <f>+Y182</f>
        <v>4638045</v>
      </c>
    </row>
    <row r="163" spans="1:26" x14ac:dyDescent="0.25">
      <c r="J163" s="476"/>
      <c r="M163" s="460"/>
      <c r="N163" s="476"/>
      <c r="Q163" s="477"/>
      <c r="R163" s="476"/>
      <c r="U163" s="460"/>
      <c r="V163" s="476"/>
      <c r="Y163" s="460"/>
    </row>
    <row r="164" spans="1:26" ht="10.8" thickBot="1" x14ac:dyDescent="0.3">
      <c r="A164" s="426" t="s">
        <v>354</v>
      </c>
      <c r="J164" s="446">
        <f>SUM(K164:M164)</f>
        <v>7635595</v>
      </c>
      <c r="K164" s="478"/>
      <c r="L164" s="448">
        <f>'[1]aantal leden - ALL-2023'!E11</f>
        <v>3242525</v>
      </c>
      <c r="M164" s="449">
        <f>'[1]aantal leden - ALL-2023'!E10</f>
        <v>4393070</v>
      </c>
      <c r="N164" s="446">
        <f>SUM(O164:Q164)</f>
        <v>7716605.8666666672</v>
      </c>
      <c r="O164" s="478"/>
      <c r="P164" s="448">
        <f>+P162+P158</f>
        <v>3260099.6</v>
      </c>
      <c r="Q164" s="449">
        <f>+Q162+Q158</f>
        <v>4456506.2666666666</v>
      </c>
      <c r="R164" s="446">
        <f>SUM(S164:U164)</f>
        <v>8079255</v>
      </c>
      <c r="S164" s="478"/>
      <c r="T164" s="448">
        <f>+T162+T158</f>
        <v>3373765</v>
      </c>
      <c r="U164" s="449">
        <f>+U162+U158</f>
        <v>4705490</v>
      </c>
      <c r="V164" s="446">
        <f>SUM(W164:Y164)</f>
        <v>8090667</v>
      </c>
      <c r="W164" s="478"/>
      <c r="X164" s="448">
        <f>+X162+X158</f>
        <v>3413022</v>
      </c>
      <c r="Y164" s="449">
        <f>+Y162+Y158</f>
        <v>4677645</v>
      </c>
    </row>
    <row r="165" spans="1:26" ht="10.8" thickBot="1" x14ac:dyDescent="0.3"/>
    <row r="166" spans="1:26" ht="10.8" thickBot="1" x14ac:dyDescent="0.3">
      <c r="A166" s="426" t="s">
        <v>380</v>
      </c>
      <c r="B166" s="427"/>
      <c r="C166" s="428"/>
      <c r="D166" s="427"/>
      <c r="E166" s="427"/>
      <c r="F166" s="427"/>
      <c r="G166" s="428"/>
      <c r="H166" s="427"/>
      <c r="I166" s="429"/>
      <c r="J166" s="461">
        <f>SUM(L166:M166)</f>
        <v>-479837.63769053528</v>
      </c>
      <c r="K166" s="479"/>
      <c r="L166" s="462">
        <f>+L164-L156</f>
        <v>-213638.89999999991</v>
      </c>
      <c r="M166" s="462">
        <f>+M164-M156</f>
        <v>-266198.73769053537</v>
      </c>
      <c r="N166" s="461">
        <f>SUM(P166:Q166)</f>
        <v>-828838.05653218413</v>
      </c>
      <c r="O166" s="479"/>
      <c r="P166" s="462">
        <f>+P164-P156</f>
        <v>-331055.39999999991</v>
      </c>
      <c r="Q166" s="462">
        <f>+Q164-Q156</f>
        <v>-497782.65653218422</v>
      </c>
      <c r="R166" s="461">
        <f>+T166+U166</f>
        <v>-629133</v>
      </c>
      <c r="S166" s="479"/>
      <c r="T166" s="462">
        <f>+T164-T156</f>
        <v>-250420</v>
      </c>
      <c r="U166" s="504">
        <f>+U164-U156</f>
        <v>-378713</v>
      </c>
      <c r="V166" s="461">
        <f>+X166+Y166</f>
        <v>-416028</v>
      </c>
      <c r="W166" s="479"/>
      <c r="X166" s="462">
        <f>+X164-X156</f>
        <v>-147558</v>
      </c>
      <c r="Y166" s="504">
        <f>+Y164-Y156</f>
        <v>-268470</v>
      </c>
    </row>
    <row r="168" spans="1:26" hidden="1" x14ac:dyDescent="0.25">
      <c r="J168" s="480" t="s">
        <v>183</v>
      </c>
      <c r="K168" s="432" t="s">
        <v>184</v>
      </c>
      <c r="L168" s="415">
        <f>ROUND($K$156*M168,0)</f>
        <v>279044</v>
      </c>
      <c r="M168" s="463">
        <v>0.42</v>
      </c>
      <c r="N168" s="480" t="s">
        <v>183</v>
      </c>
      <c r="O168" s="432" t="s">
        <v>184</v>
      </c>
      <c r="P168" s="415">
        <f>ROUND($O$156*Q168,0)</f>
        <v>234902</v>
      </c>
      <c r="Q168" s="433">
        <v>0.41349999999999998</v>
      </c>
      <c r="R168" s="480" t="s">
        <v>183</v>
      </c>
      <c r="S168" s="432" t="s">
        <v>184</v>
      </c>
      <c r="T168" s="415">
        <v>167831</v>
      </c>
      <c r="U168" s="502">
        <v>0.41599999999999998</v>
      </c>
      <c r="V168" s="480" t="s">
        <v>183</v>
      </c>
      <c r="W168" s="432" t="s">
        <v>184</v>
      </c>
      <c r="X168" s="415">
        <f>ROUND(W156*Y168,0)</f>
        <v>171016</v>
      </c>
      <c r="Y168" s="502">
        <f>ROUND(X162/V162,3)</f>
        <v>0.42199999999999999</v>
      </c>
    </row>
    <row r="169" spans="1:26" x14ac:dyDescent="0.25">
      <c r="K169" s="432" t="s">
        <v>185</v>
      </c>
      <c r="L169" s="415">
        <f>ROUND($K$156*M169,0)</f>
        <v>385346</v>
      </c>
      <c r="M169" s="463">
        <v>0.57999999999999996</v>
      </c>
      <c r="O169" s="432" t="s">
        <v>185</v>
      </c>
      <c r="P169" s="415">
        <f>ROUND($O$156*Q169,0)</f>
        <v>333180</v>
      </c>
      <c r="Q169" s="433">
        <v>0.58650000000000002</v>
      </c>
      <c r="S169" s="432" t="s">
        <v>185</v>
      </c>
      <c r="T169" s="415">
        <v>235609</v>
      </c>
      <c r="U169" s="502">
        <v>0.58399999999999996</v>
      </c>
      <c r="W169" s="432" t="s">
        <v>185</v>
      </c>
      <c r="X169" s="415">
        <f>ROUND(W156*Y169,0)-1</f>
        <v>234234</v>
      </c>
      <c r="Y169" s="502">
        <f>ROUND(Y162/V162,3)</f>
        <v>0.57799999999999996</v>
      </c>
    </row>
    <row r="170" spans="1:26" x14ac:dyDescent="0.25">
      <c r="K170" s="434"/>
      <c r="L170" s="415">
        <f>SUM(L168:L169)</f>
        <v>664390</v>
      </c>
      <c r="M170" s="475"/>
      <c r="O170" s="434"/>
      <c r="P170" s="415">
        <f>SUM(P168:P169)</f>
        <v>568082</v>
      </c>
      <c r="S170" s="434"/>
      <c r="T170" s="415">
        <f>SUM(T168:T169)</f>
        <v>403440</v>
      </c>
      <c r="U170" s="475"/>
      <c r="W170" s="434"/>
      <c r="X170" s="415">
        <f>SUM(X168:X169)</f>
        <v>405250</v>
      </c>
      <c r="Y170" s="475"/>
    </row>
    <row r="172" spans="1:26" ht="13.8" hidden="1" x14ac:dyDescent="0.25">
      <c r="F172" s="409"/>
      <c r="G172" s="409"/>
      <c r="H172" s="409"/>
      <c r="I172" s="409"/>
      <c r="R172" s="484"/>
      <c r="S172" s="491" t="s">
        <v>360</v>
      </c>
      <c r="T172" s="490" t="s">
        <v>360</v>
      </c>
      <c r="U172" s="490" t="s">
        <v>361</v>
      </c>
      <c r="V172" s="484"/>
      <c r="W172" s="491" t="s">
        <v>360</v>
      </c>
      <c r="X172" s="490" t="s">
        <v>360</v>
      </c>
      <c r="Y172" s="490" t="s">
        <v>361</v>
      </c>
    </row>
    <row r="173" spans="1:26" ht="12" hidden="1" x14ac:dyDescent="0.25">
      <c r="R173" s="489" t="s">
        <v>362</v>
      </c>
      <c r="S173" s="491">
        <v>495</v>
      </c>
      <c r="T173" s="494">
        <v>6055</v>
      </c>
      <c r="U173" s="494">
        <f>+S173*T173</f>
        <v>2997225</v>
      </c>
      <c r="V173" s="489" t="s">
        <v>362</v>
      </c>
      <c r="W173" s="491">
        <v>495</v>
      </c>
      <c r="X173" s="494">
        <v>6105</v>
      </c>
      <c r="Y173" s="494">
        <f>+W173*X173</f>
        <v>3021975</v>
      </c>
      <c r="Z173" s="475" t="s">
        <v>184</v>
      </c>
    </row>
    <row r="174" spans="1:26" ht="12" hidden="1" x14ac:dyDescent="0.25">
      <c r="R174" s="485" t="s">
        <v>364</v>
      </c>
      <c r="S174" s="492">
        <v>110</v>
      </c>
      <c r="T174" s="495">
        <v>688</v>
      </c>
      <c r="U174" s="495">
        <f>+S174*T174</f>
        <v>75680</v>
      </c>
      <c r="V174" s="485" t="s">
        <v>364</v>
      </c>
      <c r="W174" s="492">
        <v>110</v>
      </c>
      <c r="X174" s="495">
        <v>733</v>
      </c>
      <c r="Y174" s="495">
        <f>+W174*X174</f>
        <v>80630</v>
      </c>
    </row>
    <row r="175" spans="1:26" ht="12" hidden="1" x14ac:dyDescent="0.25">
      <c r="R175" s="486" t="s">
        <v>1046</v>
      </c>
      <c r="S175" s="493">
        <v>160</v>
      </c>
      <c r="T175" s="496">
        <v>1706</v>
      </c>
      <c r="U175" s="496">
        <f>+S175*T175</f>
        <v>272960</v>
      </c>
      <c r="V175" s="486" t="s">
        <v>1046</v>
      </c>
      <c r="W175" s="493">
        <v>160</v>
      </c>
      <c r="X175" s="496">
        <v>1755</v>
      </c>
      <c r="Y175" s="496">
        <f>+W175*X175</f>
        <v>280800</v>
      </c>
    </row>
    <row r="176" spans="1:26" ht="12" hidden="1" x14ac:dyDescent="0.25">
      <c r="R176" s="487"/>
      <c r="S176" s="488"/>
      <c r="T176" s="496">
        <f>SUM(T173:T175)</f>
        <v>8449</v>
      </c>
      <c r="U176" s="496">
        <f>SUM(U173:U175)</f>
        <v>3345865</v>
      </c>
      <c r="V176" s="487"/>
      <c r="W176" s="488"/>
      <c r="X176" s="496">
        <f>SUM(X173:X175)</f>
        <v>8593</v>
      </c>
      <c r="Y176" s="496">
        <f>SUM(Y173:Y175)</f>
        <v>3383405</v>
      </c>
    </row>
    <row r="177" spans="18:26" hidden="1" x14ac:dyDescent="0.25">
      <c r="R177" s="410"/>
      <c r="S177" s="410"/>
      <c r="T177" s="410"/>
      <c r="U177" s="410"/>
      <c r="V177" s="410"/>
      <c r="W177" s="410"/>
      <c r="X177" s="410"/>
      <c r="Y177" s="410"/>
    </row>
    <row r="178" spans="18:26" ht="12" hidden="1" x14ac:dyDescent="0.25">
      <c r="R178" s="484"/>
      <c r="S178" s="491" t="s">
        <v>360</v>
      </c>
      <c r="T178" s="490" t="s">
        <v>360</v>
      </c>
      <c r="U178" s="490" t="s">
        <v>361</v>
      </c>
      <c r="V178" s="484"/>
      <c r="W178" s="491" t="s">
        <v>360</v>
      </c>
      <c r="X178" s="490" t="s">
        <v>360</v>
      </c>
      <c r="Y178" s="490" t="s">
        <v>361</v>
      </c>
    </row>
    <row r="179" spans="18:26" ht="12" hidden="1" x14ac:dyDescent="0.25">
      <c r="R179" s="489" t="s">
        <v>362</v>
      </c>
      <c r="S179" s="491">
        <v>495</v>
      </c>
      <c r="T179" s="494">
        <v>8274</v>
      </c>
      <c r="U179" s="494">
        <f>+S179*T179</f>
        <v>4095630</v>
      </c>
      <c r="V179" s="489" t="s">
        <v>362</v>
      </c>
      <c r="W179" s="491">
        <v>495</v>
      </c>
      <c r="X179" s="494">
        <v>8203</v>
      </c>
      <c r="Y179" s="494">
        <f>+W179*X179</f>
        <v>4060485</v>
      </c>
      <c r="Z179" s="475" t="s">
        <v>185</v>
      </c>
    </row>
    <row r="180" spans="18:26" ht="12" hidden="1" x14ac:dyDescent="0.25">
      <c r="R180" s="485" t="s">
        <v>364</v>
      </c>
      <c r="S180" s="492">
        <v>110</v>
      </c>
      <c r="T180" s="495">
        <v>916</v>
      </c>
      <c r="U180" s="495">
        <f>+S180*T180</f>
        <v>100760</v>
      </c>
      <c r="V180" s="485" t="s">
        <v>364</v>
      </c>
      <c r="W180" s="492">
        <v>110</v>
      </c>
      <c r="X180" s="495">
        <v>948</v>
      </c>
      <c r="Y180" s="495">
        <f>+W180*X180</f>
        <v>104280</v>
      </c>
    </row>
    <row r="181" spans="18:26" ht="12" hidden="1" x14ac:dyDescent="0.25">
      <c r="R181" s="486" t="s">
        <v>1046</v>
      </c>
      <c r="S181" s="493">
        <v>160</v>
      </c>
      <c r="T181" s="496">
        <v>2885</v>
      </c>
      <c r="U181" s="496">
        <f>+S181*T181</f>
        <v>461600</v>
      </c>
      <c r="V181" s="486" t="s">
        <v>1046</v>
      </c>
      <c r="W181" s="493">
        <v>160</v>
      </c>
      <c r="X181" s="496">
        <v>2958</v>
      </c>
      <c r="Y181" s="496">
        <f>+W181*X181</f>
        <v>473280</v>
      </c>
    </row>
    <row r="182" spans="18:26" ht="12" hidden="1" x14ac:dyDescent="0.25">
      <c r="R182" s="483"/>
      <c r="S182" s="488"/>
      <c r="T182" s="496">
        <f>SUM(T179:T181)</f>
        <v>12075</v>
      </c>
      <c r="U182" s="496">
        <f>SUM(U179:U181)</f>
        <v>4657990</v>
      </c>
      <c r="V182" s="483"/>
      <c r="W182" s="488"/>
      <c r="X182" s="496">
        <f>SUM(X179:X181)</f>
        <v>12109</v>
      </c>
      <c r="Y182" s="496">
        <f>SUM(Y179:Y181)</f>
        <v>4638045</v>
      </c>
    </row>
    <row r="183" spans="18:26" hidden="1" x14ac:dyDescent="0.25"/>
    <row r="184" spans="18:26" hidden="1" x14ac:dyDescent="0.25"/>
  </sheetData>
  <mergeCells count="6">
    <mergeCell ref="V1:Y1"/>
    <mergeCell ref="N1:Q1"/>
    <mergeCell ref="J1:M1"/>
    <mergeCell ref="F1:I1"/>
    <mergeCell ref="B1:E1"/>
    <mergeCell ref="R1:U1"/>
  </mergeCells>
  <phoneticPr fontId="5" type="noConversion"/>
  <pageMargins left="0.70866141732283472" right="0.70866141732283472" top="0.74803149606299213" bottom="0.74803149606299213" header="0.31496062992125984" footer="0.31496062992125984"/>
  <pageSetup paperSize="8" fitToHeight="0" orientation="landscape" r:id="rId1"/>
  <rowBreaks count="3" manualBreakCount="3">
    <brk id="46" max="16383" man="1"/>
    <brk id="80" max="26" man="1"/>
    <brk id="133" max="16383" man="1"/>
  </rowBreaks>
  <ignoredErrors>
    <ignoredError sqref="K3 K17 K31 K41 K81 K96 K121 F132 K134 F135:F140 K142 F143 B144 K146 K150 F147:F149 D150:I150 B146:I146 B142:I142 C134:I134 B121:I121 M138 S3 S17 U3 F122:F130" formulaRange="1"/>
    <ignoredError sqref="D155:I155" numberStoredAsText="1"/>
    <ignoredError sqref="L3 J121 J134:J149 J156 N47:Q47 P72 N72:O72 Q72 N81:Q81 N117:S117 N121:S121 N134:T134 N142:R142 N150:R150 V3:V16 X72 X81 X134 V17:V30 V31:V40 V41:V46 V47:V71 V72:V80 V81:V149 S72:T72 S81:T81 R81 R72 R47 R3:R46 R48:R71 R73:R80 R82:R93 J150 V150 R146" formula="1"/>
    <ignoredError sqref="T117 X117" formula="1" formulaRange="1"/>
    <ignoredError sqref="R154:U154 R156:U156 R155:S155" evalError="1"/>
  </ignoredError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73F58-5859-4E6F-A718-21460E4D3BF6}">
  <dimension ref="A1:H110"/>
  <sheetViews>
    <sheetView topLeftCell="A93" workbookViewId="0"/>
  </sheetViews>
  <sheetFormatPr baseColWidth="10" defaultColWidth="9.33203125" defaultRowHeight="13.2" x14ac:dyDescent="0.25"/>
  <cols>
    <col min="1" max="1" width="58.44140625" style="22" bestFit="1" customWidth="1"/>
    <col min="2" max="2" width="16.33203125" style="22" customWidth="1"/>
    <col min="6" max="6" width="30.77734375" bestFit="1" customWidth="1"/>
  </cols>
  <sheetData>
    <row r="1" spans="1:2" ht="18.600000000000001" thickBot="1" x14ac:dyDescent="0.3">
      <c r="A1" s="6" t="s">
        <v>186</v>
      </c>
      <c r="B1" s="30" t="s">
        <v>252</v>
      </c>
    </row>
    <row r="2" spans="1:2" ht="16.2" thickBot="1" x14ac:dyDescent="0.35">
      <c r="A2" s="7" t="s">
        <v>47</v>
      </c>
      <c r="B2" s="31">
        <v>447797.0073562499</v>
      </c>
    </row>
    <row r="3" spans="1:2" ht="14.4" x14ac:dyDescent="0.3">
      <c r="A3" s="8" t="s">
        <v>49</v>
      </c>
      <c r="B3" s="32">
        <v>305151.77650624997</v>
      </c>
    </row>
    <row r="4" spans="1:2" ht="14.4" x14ac:dyDescent="0.3">
      <c r="A4" s="8" t="s">
        <v>50</v>
      </c>
      <c r="B4" s="32">
        <v>12932.712</v>
      </c>
    </row>
    <row r="5" spans="1:2" ht="14.4" x14ac:dyDescent="0.3">
      <c r="A5" s="8" t="s">
        <v>187</v>
      </c>
      <c r="B5" s="33">
        <v>20390.294249999995</v>
      </c>
    </row>
    <row r="6" spans="1:2" ht="14.4" x14ac:dyDescent="0.3">
      <c r="A6" s="8" t="s">
        <v>188</v>
      </c>
      <c r="B6" s="33">
        <v>323.40800000000002</v>
      </c>
    </row>
    <row r="7" spans="1:2" ht="14.4" x14ac:dyDescent="0.3">
      <c r="A7" s="8" t="s">
        <v>189</v>
      </c>
      <c r="B7" s="33">
        <v>0</v>
      </c>
    </row>
    <row r="8" spans="1:2" ht="14.4" x14ac:dyDescent="0.3">
      <c r="A8" s="8" t="s">
        <v>190</v>
      </c>
      <c r="B8" s="33">
        <v>29800</v>
      </c>
    </row>
    <row r="9" spans="1:2" ht="14.4" x14ac:dyDescent="0.3">
      <c r="A9" s="8" t="s">
        <v>191</v>
      </c>
      <c r="B9" s="33">
        <v>33245.328000000001</v>
      </c>
    </row>
    <row r="10" spans="1:2" ht="14.4" x14ac:dyDescent="0.3">
      <c r="A10" s="8" t="s">
        <v>192</v>
      </c>
      <c r="B10" s="33">
        <v>15548.928599999999</v>
      </c>
    </row>
    <row r="11" spans="1:2" ht="14.4" x14ac:dyDescent="0.3">
      <c r="A11" s="8" t="s">
        <v>193</v>
      </c>
      <c r="B11" s="33">
        <v>7500</v>
      </c>
    </row>
    <row r="12" spans="1:2" ht="14.4" x14ac:dyDescent="0.3">
      <c r="A12" s="8" t="s">
        <v>194</v>
      </c>
      <c r="B12" s="33">
        <v>0</v>
      </c>
    </row>
    <row r="13" spans="1:2" ht="15" thickBot="1" x14ac:dyDescent="0.35">
      <c r="A13" s="8" t="s">
        <v>60</v>
      </c>
      <c r="B13" s="33">
        <v>22904.560000000001</v>
      </c>
    </row>
    <row r="14" spans="1:2" ht="16.2" thickBot="1" x14ac:dyDescent="0.35">
      <c r="A14" s="7" t="s">
        <v>63</v>
      </c>
      <c r="B14" s="34">
        <v>334010.68312</v>
      </c>
    </row>
    <row r="15" spans="1:2" ht="14.4" x14ac:dyDescent="0.3">
      <c r="A15" s="8" t="s">
        <v>65</v>
      </c>
      <c r="B15" s="33">
        <v>2233.5095999999999</v>
      </c>
    </row>
    <row r="16" spans="1:2" ht="14.4" x14ac:dyDescent="0.3">
      <c r="A16" s="8" t="s">
        <v>67</v>
      </c>
      <c r="B16" s="33">
        <v>24300</v>
      </c>
    </row>
    <row r="17" spans="1:2" ht="14.4" x14ac:dyDescent="0.3">
      <c r="A17" s="8" t="s">
        <v>69</v>
      </c>
      <c r="B17" s="33">
        <v>31087.320000000007</v>
      </c>
    </row>
    <row r="18" spans="1:2" ht="14.4" x14ac:dyDescent="0.3">
      <c r="A18" s="8" t="s">
        <v>71</v>
      </c>
      <c r="B18" s="33">
        <v>7200</v>
      </c>
    </row>
    <row r="19" spans="1:2" ht="14.4" x14ac:dyDescent="0.3">
      <c r="A19" s="8" t="s">
        <v>195</v>
      </c>
      <c r="B19" s="33">
        <v>7800</v>
      </c>
    </row>
    <row r="20" spans="1:2" ht="14.4" x14ac:dyDescent="0.3">
      <c r="A20" s="8" t="s">
        <v>74</v>
      </c>
      <c r="B20" s="33">
        <v>9000</v>
      </c>
    </row>
    <row r="21" spans="1:2" ht="14.4" x14ac:dyDescent="0.3">
      <c r="A21" s="8" t="s">
        <v>76</v>
      </c>
      <c r="B21" s="33">
        <v>2000</v>
      </c>
    </row>
    <row r="22" spans="1:2" ht="14.4" x14ac:dyDescent="0.3">
      <c r="A22" s="8" t="s">
        <v>78</v>
      </c>
      <c r="B22" s="33">
        <v>2500</v>
      </c>
    </row>
    <row r="23" spans="1:2" ht="14.4" x14ac:dyDescent="0.3">
      <c r="A23" s="8" t="s">
        <v>81</v>
      </c>
      <c r="B23" s="33">
        <v>10300</v>
      </c>
    </row>
    <row r="24" spans="1:2" ht="14.4" x14ac:dyDescent="0.3">
      <c r="A24" s="8" t="s">
        <v>196</v>
      </c>
      <c r="B24" s="33">
        <v>12000</v>
      </c>
    </row>
    <row r="25" spans="1:2" ht="14.4" x14ac:dyDescent="0.3">
      <c r="A25" s="8" t="s">
        <v>85</v>
      </c>
      <c r="B25" s="33">
        <v>0</v>
      </c>
    </row>
    <row r="26" spans="1:2" ht="14.4" x14ac:dyDescent="0.3">
      <c r="A26" s="8" t="s">
        <v>197</v>
      </c>
      <c r="B26" s="33">
        <v>12500</v>
      </c>
    </row>
    <row r="27" spans="1:2" ht="14.4" x14ac:dyDescent="0.3">
      <c r="A27" s="8" t="s">
        <v>198</v>
      </c>
      <c r="B27" s="35">
        <v>81689.853520000004</v>
      </c>
    </row>
    <row r="28" spans="1:2" ht="14.4" x14ac:dyDescent="0.3">
      <c r="A28" s="8" t="s">
        <v>91</v>
      </c>
      <c r="B28" s="33">
        <v>101400</v>
      </c>
    </row>
    <row r="29" spans="1:2" ht="14.4" x14ac:dyDescent="0.3">
      <c r="A29" s="8" t="s">
        <v>150</v>
      </c>
      <c r="B29" s="33">
        <v>0</v>
      </c>
    </row>
    <row r="30" spans="1:2" ht="15" thickBot="1" x14ac:dyDescent="0.35">
      <c r="A30" s="8" t="s">
        <v>199</v>
      </c>
      <c r="B30" s="33">
        <v>30000</v>
      </c>
    </row>
    <row r="31" spans="1:2" ht="16.2" thickBot="1" x14ac:dyDescent="0.35">
      <c r="A31" s="7" t="s">
        <v>97</v>
      </c>
      <c r="B31" s="36">
        <v>11174.761500000001</v>
      </c>
    </row>
    <row r="32" spans="1:2" ht="14.4" x14ac:dyDescent="0.3">
      <c r="A32" s="8" t="s">
        <v>99</v>
      </c>
      <c r="B32" s="33">
        <v>6433.5335999999998</v>
      </c>
    </row>
    <row r="33" spans="1:2" ht="14.4" x14ac:dyDescent="0.3">
      <c r="A33" s="8" t="s">
        <v>200</v>
      </c>
      <c r="B33" s="33">
        <v>4285.4686999999994</v>
      </c>
    </row>
    <row r="34" spans="1:2" ht="14.4" x14ac:dyDescent="0.3">
      <c r="A34" s="9" t="s">
        <v>201</v>
      </c>
      <c r="B34" s="33">
        <v>455.75920000000002</v>
      </c>
    </row>
    <row r="35" spans="1:2" ht="16.2" thickBot="1" x14ac:dyDescent="0.35">
      <c r="A35" s="10" t="s">
        <v>202</v>
      </c>
      <c r="B35" s="37">
        <v>556900</v>
      </c>
    </row>
    <row r="36" spans="1:2" ht="14.4" x14ac:dyDescent="0.3">
      <c r="A36" s="11" t="s">
        <v>106</v>
      </c>
      <c r="B36" s="33">
        <v>286000</v>
      </c>
    </row>
    <row r="37" spans="1:2" ht="14.4" x14ac:dyDescent="0.3">
      <c r="A37" s="12" t="s">
        <v>109</v>
      </c>
      <c r="B37" s="33">
        <v>106000</v>
      </c>
    </row>
    <row r="38" spans="1:2" ht="14.4" x14ac:dyDescent="0.3">
      <c r="A38" s="12" t="s">
        <v>112</v>
      </c>
      <c r="B38" s="33">
        <v>13000</v>
      </c>
    </row>
    <row r="39" spans="1:2" ht="14.4" x14ac:dyDescent="0.3">
      <c r="A39" s="12" t="s">
        <v>116</v>
      </c>
      <c r="B39" s="33">
        <v>43300</v>
      </c>
    </row>
    <row r="40" spans="1:2" ht="14.4" x14ac:dyDescent="0.3">
      <c r="A40" s="12" t="s">
        <v>119</v>
      </c>
      <c r="B40" s="33">
        <v>28500</v>
      </c>
    </row>
    <row r="41" spans="1:2" ht="14.4" x14ac:dyDescent="0.3">
      <c r="A41" s="12" t="s">
        <v>203</v>
      </c>
      <c r="B41" s="33">
        <v>4900</v>
      </c>
    </row>
    <row r="42" spans="1:2" ht="14.4" x14ac:dyDescent="0.3">
      <c r="A42" s="12" t="s">
        <v>204</v>
      </c>
      <c r="B42" s="33">
        <v>4300</v>
      </c>
    </row>
    <row r="43" spans="1:2" ht="14.4" x14ac:dyDescent="0.3">
      <c r="A43" s="12" t="s">
        <v>205</v>
      </c>
      <c r="B43" s="38">
        <v>30500</v>
      </c>
    </row>
    <row r="44" spans="1:2" ht="14.4" x14ac:dyDescent="0.3">
      <c r="A44" s="12" t="s">
        <v>125</v>
      </c>
      <c r="B44" s="33">
        <v>28400</v>
      </c>
    </row>
    <row r="45" spans="1:2" ht="14.4" x14ac:dyDescent="0.3">
      <c r="A45" s="12" t="s">
        <v>206</v>
      </c>
      <c r="B45" s="33">
        <v>5000</v>
      </c>
    </row>
    <row r="46" spans="1:2" ht="14.4" x14ac:dyDescent="0.3">
      <c r="A46" s="12" t="s">
        <v>207</v>
      </c>
      <c r="B46" s="33">
        <v>0</v>
      </c>
    </row>
    <row r="47" spans="1:2" ht="14.4" x14ac:dyDescent="0.3">
      <c r="A47" s="12" t="s">
        <v>132</v>
      </c>
      <c r="B47" s="33">
        <v>4500</v>
      </c>
    </row>
    <row r="48" spans="1:2" ht="15" thickBot="1" x14ac:dyDescent="0.35">
      <c r="A48" s="13" t="s">
        <v>129</v>
      </c>
      <c r="B48" s="33">
        <v>2500</v>
      </c>
    </row>
    <row r="49" spans="1:2" ht="16.2" thickBot="1" x14ac:dyDescent="0.35">
      <c r="A49" s="7" t="s">
        <v>208</v>
      </c>
      <c r="B49" s="34">
        <v>126000</v>
      </c>
    </row>
    <row r="50" spans="1:2" ht="14.4" x14ac:dyDescent="0.3">
      <c r="A50" s="14" t="s">
        <v>209</v>
      </c>
      <c r="B50" s="33">
        <v>50000</v>
      </c>
    </row>
    <row r="51" spans="1:2" ht="14.4" x14ac:dyDescent="0.3">
      <c r="A51" s="12" t="s">
        <v>210</v>
      </c>
      <c r="B51" s="33">
        <v>20000</v>
      </c>
    </row>
    <row r="52" spans="1:2" ht="14.4" x14ac:dyDescent="0.3">
      <c r="A52" s="12" t="s">
        <v>211</v>
      </c>
      <c r="B52" s="33">
        <v>5000</v>
      </c>
    </row>
    <row r="53" spans="1:2" ht="15" thickBot="1" x14ac:dyDescent="0.35">
      <c r="A53" s="12" t="s">
        <v>212</v>
      </c>
      <c r="B53" s="33">
        <v>51000</v>
      </c>
    </row>
    <row r="54" spans="1:2" ht="16.2" thickBot="1" x14ac:dyDescent="0.35">
      <c r="A54" s="7" t="s">
        <v>213</v>
      </c>
      <c r="B54" s="31">
        <v>201050</v>
      </c>
    </row>
    <row r="55" spans="1:2" ht="14.4" x14ac:dyDescent="0.3">
      <c r="A55" s="8" t="s">
        <v>214</v>
      </c>
      <c r="B55" s="33">
        <v>0</v>
      </c>
    </row>
    <row r="56" spans="1:2" ht="14.4" x14ac:dyDescent="0.3">
      <c r="A56" s="8" t="s">
        <v>215</v>
      </c>
      <c r="B56" s="33">
        <v>3500</v>
      </c>
    </row>
    <row r="57" spans="1:2" ht="14.4" x14ac:dyDescent="0.3">
      <c r="A57" s="8" t="s">
        <v>216</v>
      </c>
      <c r="B57" s="33">
        <v>0</v>
      </c>
    </row>
    <row r="58" spans="1:2" ht="14.4" x14ac:dyDescent="0.3">
      <c r="A58" s="8" t="s">
        <v>217</v>
      </c>
      <c r="B58" s="33">
        <v>6500</v>
      </c>
    </row>
    <row r="59" spans="1:2" ht="14.4" x14ac:dyDescent="0.3">
      <c r="A59" s="8" t="s">
        <v>161</v>
      </c>
      <c r="B59" s="33">
        <v>9000</v>
      </c>
    </row>
    <row r="60" spans="1:2" ht="14.4" x14ac:dyDescent="0.3">
      <c r="A60" s="8" t="s">
        <v>218</v>
      </c>
      <c r="B60" s="38">
        <v>10000</v>
      </c>
    </row>
    <row r="61" spans="1:2" ht="14.4" x14ac:dyDescent="0.3">
      <c r="A61" s="8" t="s">
        <v>219</v>
      </c>
      <c r="B61" s="33">
        <v>1400</v>
      </c>
    </row>
    <row r="62" spans="1:2" ht="14.4" x14ac:dyDescent="0.3">
      <c r="A62" s="8" t="s">
        <v>220</v>
      </c>
      <c r="B62" s="33">
        <v>13630</v>
      </c>
    </row>
    <row r="63" spans="1:2" ht="14.4" x14ac:dyDescent="0.3">
      <c r="A63" s="8" t="s">
        <v>221</v>
      </c>
      <c r="B63" s="33">
        <v>27000</v>
      </c>
    </row>
    <row r="64" spans="1:2" ht="14.4" x14ac:dyDescent="0.3">
      <c r="A64" s="8" t="s">
        <v>222</v>
      </c>
      <c r="B64" s="33">
        <v>0</v>
      </c>
    </row>
    <row r="65" spans="1:8" ht="14.4" x14ac:dyDescent="0.3">
      <c r="A65" s="8" t="s">
        <v>223</v>
      </c>
      <c r="B65" s="33">
        <v>1000</v>
      </c>
    </row>
    <row r="66" spans="1:8" ht="14.4" x14ac:dyDescent="0.3">
      <c r="A66" s="15" t="s">
        <v>224</v>
      </c>
      <c r="B66" s="33">
        <v>4000</v>
      </c>
    </row>
    <row r="67" spans="1:8" ht="14.4" x14ac:dyDescent="0.3">
      <c r="A67" s="8" t="s">
        <v>225</v>
      </c>
      <c r="B67" s="33">
        <v>4000</v>
      </c>
    </row>
    <row r="68" spans="1:8" ht="14.4" x14ac:dyDescent="0.3">
      <c r="A68" s="8" t="s">
        <v>226</v>
      </c>
      <c r="B68" s="33">
        <v>3500</v>
      </c>
    </row>
    <row r="69" spans="1:8" ht="14.4" x14ac:dyDescent="0.3">
      <c r="A69" s="16" t="s">
        <v>227</v>
      </c>
      <c r="B69" s="33">
        <v>1300</v>
      </c>
    </row>
    <row r="70" spans="1:8" ht="14.4" x14ac:dyDescent="0.3">
      <c r="A70" s="8" t="s">
        <v>228</v>
      </c>
      <c r="B70" s="33">
        <v>0</v>
      </c>
      <c r="F70" t="s">
        <v>229</v>
      </c>
      <c r="H70" t="s">
        <v>253</v>
      </c>
    </row>
    <row r="71" spans="1:8" ht="14.4" x14ac:dyDescent="0.3">
      <c r="A71" s="8" t="s">
        <v>229</v>
      </c>
      <c r="B71" s="32">
        <v>83500</v>
      </c>
      <c r="F71" t="s">
        <v>254</v>
      </c>
      <c r="G71">
        <v>27000</v>
      </c>
      <c r="H71" t="s">
        <v>255</v>
      </c>
    </row>
    <row r="72" spans="1:8" ht="14.4" x14ac:dyDescent="0.3">
      <c r="A72" s="8" t="s">
        <v>168</v>
      </c>
      <c r="B72" s="33">
        <v>19500</v>
      </c>
      <c r="F72" t="s">
        <v>256</v>
      </c>
      <c r="G72">
        <v>52500</v>
      </c>
      <c r="H72" t="s">
        <v>257</v>
      </c>
    </row>
    <row r="73" spans="1:8" ht="15" thickBot="1" x14ac:dyDescent="0.35">
      <c r="A73" s="13" t="s">
        <v>230</v>
      </c>
      <c r="B73" s="33">
        <v>13220</v>
      </c>
      <c r="F73" t="s">
        <v>258</v>
      </c>
      <c r="G73">
        <v>4000</v>
      </c>
      <c r="H73" t="s">
        <v>259</v>
      </c>
    </row>
    <row r="74" spans="1:8" ht="15.6" x14ac:dyDescent="0.3">
      <c r="A74" s="17" t="s">
        <v>16</v>
      </c>
      <c r="B74" s="39">
        <v>2311460</v>
      </c>
    </row>
    <row r="75" spans="1:8" ht="14.4" x14ac:dyDescent="0.3">
      <c r="A75" s="8" t="s">
        <v>2</v>
      </c>
      <c r="B75" s="40">
        <v>2139500</v>
      </c>
    </row>
    <row r="76" spans="1:8" ht="14.4" x14ac:dyDescent="0.3">
      <c r="A76" s="8" t="s">
        <v>231</v>
      </c>
      <c r="B76" s="33">
        <v>6600</v>
      </c>
    </row>
    <row r="77" spans="1:8" ht="14.4" x14ac:dyDescent="0.3">
      <c r="A77" s="8" t="s">
        <v>6</v>
      </c>
      <c r="B77" s="33">
        <v>13200.000000000002</v>
      </c>
    </row>
    <row r="78" spans="1:8" ht="14.4" x14ac:dyDescent="0.3">
      <c r="A78" s="8" t="s">
        <v>232</v>
      </c>
      <c r="B78" s="33">
        <v>0</v>
      </c>
    </row>
    <row r="79" spans="1:8" ht="14.4" x14ac:dyDescent="0.3">
      <c r="A79" s="8" t="s">
        <v>233</v>
      </c>
      <c r="B79" s="33">
        <v>17600</v>
      </c>
    </row>
    <row r="80" spans="1:8" ht="14.4" x14ac:dyDescent="0.3">
      <c r="A80" s="8" t="s">
        <v>234</v>
      </c>
      <c r="B80" s="33">
        <v>10000</v>
      </c>
    </row>
    <row r="81" spans="1:2" ht="14.4" x14ac:dyDescent="0.3">
      <c r="A81" s="8" t="s">
        <v>11</v>
      </c>
      <c r="B81" s="33">
        <v>6760</v>
      </c>
    </row>
    <row r="82" spans="1:2" ht="14.4" x14ac:dyDescent="0.3">
      <c r="A82" s="8" t="s">
        <v>13</v>
      </c>
      <c r="B82" s="33">
        <v>30000</v>
      </c>
    </row>
    <row r="83" spans="1:2" ht="15" thickBot="1" x14ac:dyDescent="0.35">
      <c r="A83" s="8" t="s">
        <v>235</v>
      </c>
      <c r="B83" s="33">
        <v>87800</v>
      </c>
    </row>
    <row r="84" spans="1:2" ht="16.2" thickBot="1" x14ac:dyDescent="0.35">
      <c r="A84" s="7" t="s">
        <v>18</v>
      </c>
      <c r="B84" s="34">
        <v>247000</v>
      </c>
    </row>
    <row r="85" spans="1:2" ht="14.4" x14ac:dyDescent="0.3">
      <c r="A85" s="8" t="s">
        <v>236</v>
      </c>
      <c r="B85" s="41">
        <v>94000</v>
      </c>
    </row>
    <row r="86" spans="1:2" ht="14.4" x14ac:dyDescent="0.3">
      <c r="A86" s="8" t="s">
        <v>237</v>
      </c>
      <c r="B86" s="33">
        <v>113000</v>
      </c>
    </row>
    <row r="87" spans="1:2" ht="15" thickBot="1" x14ac:dyDescent="0.35">
      <c r="A87" s="18" t="s">
        <v>238</v>
      </c>
      <c r="B87" s="42">
        <v>40000</v>
      </c>
    </row>
    <row r="88" spans="1:2" ht="15" thickBot="1" x14ac:dyDescent="0.35">
      <c r="A88" s="7" t="s">
        <v>29</v>
      </c>
      <c r="B88" s="43">
        <v>0</v>
      </c>
    </row>
    <row r="89" spans="1:2" ht="15" thickBot="1" x14ac:dyDescent="0.35">
      <c r="A89" s="19" t="s">
        <v>239</v>
      </c>
      <c r="B89" s="33">
        <v>0</v>
      </c>
    </row>
    <row r="90" spans="1:2" ht="16.2" thickBot="1" x14ac:dyDescent="0.35">
      <c r="A90" s="7" t="s">
        <v>33</v>
      </c>
      <c r="B90" s="34">
        <v>120</v>
      </c>
    </row>
    <row r="91" spans="1:2" ht="15" thickBot="1" x14ac:dyDescent="0.35">
      <c r="A91" s="19" t="s">
        <v>37</v>
      </c>
      <c r="B91" s="33">
        <v>120</v>
      </c>
    </row>
    <row r="92" spans="1:2" ht="16.2" thickBot="1" x14ac:dyDescent="0.35">
      <c r="A92" s="7" t="s">
        <v>240</v>
      </c>
      <c r="B92" s="34">
        <v>8410.2857142857138</v>
      </c>
    </row>
    <row r="93" spans="1:2" ht="14.4" x14ac:dyDescent="0.3">
      <c r="A93" s="8" t="s">
        <v>241</v>
      </c>
      <c r="B93" s="33">
        <v>8410.2857142857138</v>
      </c>
    </row>
    <row r="94" spans="1:2" ht="15" thickBot="1" x14ac:dyDescent="0.35">
      <c r="A94" s="8" t="s">
        <v>242</v>
      </c>
      <c r="B94" s="33">
        <v>0</v>
      </c>
    </row>
    <row r="95" spans="1:2" ht="16.2" thickBot="1" x14ac:dyDescent="0.35">
      <c r="A95" s="7" t="s">
        <v>243</v>
      </c>
      <c r="B95" s="44">
        <v>4243922.7376905363</v>
      </c>
    </row>
    <row r="96" spans="1:2" ht="15" thickBot="1" x14ac:dyDescent="0.35">
      <c r="A96" s="20"/>
      <c r="B96" s="45"/>
    </row>
    <row r="97" spans="1:2" ht="16.2" thickBot="1" x14ac:dyDescent="0.35">
      <c r="A97" s="7" t="s">
        <v>244</v>
      </c>
      <c r="B97" s="31">
        <v>385346.22899999999</v>
      </c>
    </row>
    <row r="98" spans="1:2" ht="18" thickBot="1" x14ac:dyDescent="0.3">
      <c r="A98" s="21" t="s">
        <v>245</v>
      </c>
      <c r="B98" s="46">
        <v>4629268.9666905366</v>
      </c>
    </row>
    <row r="99" spans="1:2" ht="13.8" thickBot="1" x14ac:dyDescent="0.3">
      <c r="B99" s="47"/>
    </row>
    <row r="100" spans="1:2" ht="18.600000000000001" thickBot="1" x14ac:dyDescent="0.4">
      <c r="A100" s="23" t="s">
        <v>246</v>
      </c>
      <c r="B100" s="48">
        <v>4316820</v>
      </c>
    </row>
    <row r="101" spans="1:2" ht="13.8" thickBot="1" x14ac:dyDescent="0.3">
      <c r="A101" s="24"/>
      <c r="B101" s="49"/>
    </row>
    <row r="102" spans="1:2" ht="16.2" thickBot="1" x14ac:dyDescent="0.35">
      <c r="A102" s="7" t="s">
        <v>247</v>
      </c>
      <c r="B102" s="34">
        <v>10000</v>
      </c>
    </row>
    <row r="103" spans="1:2" ht="14.4" x14ac:dyDescent="0.3">
      <c r="A103" s="8" t="s">
        <v>248</v>
      </c>
      <c r="B103" s="33">
        <v>0</v>
      </c>
    </row>
    <row r="104" spans="1:2" ht="15" thickBot="1" x14ac:dyDescent="0.35">
      <c r="A104" s="8" t="s">
        <v>249</v>
      </c>
      <c r="B104" s="33">
        <v>10000</v>
      </c>
    </row>
    <row r="105" spans="1:2" ht="18" thickBot="1" x14ac:dyDescent="0.3">
      <c r="A105" s="25" t="s">
        <v>250</v>
      </c>
      <c r="B105" s="50">
        <v>4326820</v>
      </c>
    </row>
    <row r="106" spans="1:2" ht="13.8" thickBot="1" x14ac:dyDescent="0.3">
      <c r="A106" s="26"/>
    </row>
    <row r="107" spans="1:2" ht="21.6" thickBot="1" x14ac:dyDescent="0.3">
      <c r="A107" s="27" t="s">
        <v>251</v>
      </c>
      <c r="B107" s="51">
        <v>-302448.96669053659</v>
      </c>
    </row>
    <row r="108" spans="1:2" ht="14.4" x14ac:dyDescent="0.3">
      <c r="A108" s="28"/>
    </row>
    <row r="109" spans="1:2" x14ac:dyDescent="0.25">
      <c r="A109" s="29"/>
      <c r="B109" s="52"/>
    </row>
    <row r="110" spans="1:2" x14ac:dyDescent="0.25">
      <c r="A110" s="2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46ABF-2EA7-4D87-A403-4091EB39410E}">
  <dimension ref="A1:AE184"/>
  <sheetViews>
    <sheetView workbookViewId="0"/>
  </sheetViews>
  <sheetFormatPr baseColWidth="10" defaultColWidth="12.77734375" defaultRowHeight="14.4" x14ac:dyDescent="0.3"/>
  <cols>
    <col min="1" max="1" width="59.109375" style="70" customWidth="1"/>
    <col min="2" max="2" width="16.77734375" style="122" customWidth="1"/>
    <col min="3" max="3" width="16.33203125" style="122" hidden="1" customWidth="1"/>
    <col min="4" max="4" width="14.109375" style="122" hidden="1" customWidth="1"/>
    <col min="5" max="8" width="12.77734375" style="122" hidden="1" customWidth="1"/>
    <col min="9" max="9" width="11.33203125" style="122" hidden="1" customWidth="1"/>
    <col min="10" max="10" width="18.44140625" style="113" customWidth="1"/>
    <col min="11" max="12" width="18.44140625" style="122" hidden="1" customWidth="1"/>
    <col min="13" max="13" width="14.6640625" style="122" hidden="1" customWidth="1"/>
    <col min="14" max="17" width="18.44140625" style="122" hidden="1" customWidth="1"/>
    <col min="18" max="18" width="11" style="122" hidden="1" customWidth="1"/>
    <col min="19" max="19" width="18.44140625" style="113" customWidth="1"/>
    <col min="20" max="26" width="18.44140625" style="122" customWidth="1"/>
    <col min="27" max="27" width="11" style="122" customWidth="1"/>
    <col min="28" max="30" width="18.109375" style="70" customWidth="1"/>
    <col min="31" max="31" width="10.33203125" style="70" customWidth="1"/>
    <col min="32" max="32" width="17.109375" style="70" customWidth="1"/>
    <col min="33" max="33" width="15.33203125" style="70" customWidth="1"/>
    <col min="34" max="34" width="15.109375" style="70" customWidth="1"/>
    <col min="35" max="16384" width="12.77734375" style="70"/>
  </cols>
  <sheetData>
    <row r="1" spans="1:27" s="64" customFormat="1" x14ac:dyDescent="0.25">
      <c r="A1" s="54" t="s">
        <v>260</v>
      </c>
      <c r="B1" s="55">
        <v>2021</v>
      </c>
      <c r="C1" s="56"/>
      <c r="D1" s="56"/>
      <c r="E1" s="56"/>
      <c r="F1" s="56"/>
      <c r="G1" s="56"/>
      <c r="H1" s="56"/>
      <c r="I1" s="56"/>
      <c r="J1" s="57">
        <v>2022</v>
      </c>
      <c r="K1" s="58"/>
      <c r="L1" s="58"/>
      <c r="M1" s="58"/>
      <c r="N1" s="58"/>
      <c r="O1" s="58"/>
      <c r="P1" s="58"/>
      <c r="Q1" s="59"/>
      <c r="R1" s="60" t="s">
        <v>261</v>
      </c>
      <c r="S1" s="61">
        <v>2023</v>
      </c>
      <c r="T1" s="62"/>
      <c r="U1" s="62"/>
      <c r="V1" s="62"/>
      <c r="W1" s="62"/>
      <c r="X1" s="62"/>
      <c r="Y1" s="62"/>
      <c r="Z1" s="63"/>
      <c r="AA1" s="60" t="s">
        <v>262</v>
      </c>
    </row>
    <row r="2" spans="1:27" x14ac:dyDescent="0.3">
      <c r="A2" s="65" t="s">
        <v>263</v>
      </c>
      <c r="B2" s="66" t="s">
        <v>264</v>
      </c>
      <c r="C2" s="66" t="s">
        <v>265</v>
      </c>
      <c r="D2" s="66" t="s">
        <v>266</v>
      </c>
      <c r="E2" s="66" t="s">
        <v>267</v>
      </c>
      <c r="F2" s="66" t="s">
        <v>268</v>
      </c>
      <c r="G2" s="66" t="s">
        <v>269</v>
      </c>
      <c r="H2" s="66" t="s">
        <v>270</v>
      </c>
      <c r="I2" s="67" t="s">
        <v>271</v>
      </c>
      <c r="J2" s="68" t="s">
        <v>264</v>
      </c>
      <c r="K2" s="66" t="s">
        <v>265</v>
      </c>
      <c r="L2" s="66" t="s">
        <v>266</v>
      </c>
      <c r="M2" s="66" t="s">
        <v>267</v>
      </c>
      <c r="N2" s="66" t="s">
        <v>268</v>
      </c>
      <c r="O2" s="66" t="s">
        <v>269</v>
      </c>
      <c r="P2" s="66" t="s">
        <v>270</v>
      </c>
      <c r="Q2" s="67" t="s">
        <v>271</v>
      </c>
      <c r="R2" s="69"/>
      <c r="S2" s="68" t="s">
        <v>264</v>
      </c>
      <c r="T2" s="66" t="s">
        <v>265</v>
      </c>
      <c r="U2" s="66" t="s">
        <v>266</v>
      </c>
      <c r="V2" s="66" t="s">
        <v>267</v>
      </c>
      <c r="W2" s="66" t="s">
        <v>268</v>
      </c>
      <c r="X2" s="66" t="s">
        <v>269</v>
      </c>
      <c r="Y2" s="66" t="s">
        <v>270</v>
      </c>
      <c r="Z2" s="67" t="s">
        <v>271</v>
      </c>
      <c r="AA2" s="69"/>
    </row>
    <row r="3" spans="1:27" x14ac:dyDescent="0.3">
      <c r="A3" s="71" t="s">
        <v>272</v>
      </c>
      <c r="B3" s="72">
        <f>B4</f>
        <v>231222</v>
      </c>
      <c r="C3" s="72">
        <f t="shared" ref="C3:Z3" si="0">C4</f>
        <v>0</v>
      </c>
      <c r="D3" s="72">
        <f t="shared" si="0"/>
        <v>0</v>
      </c>
      <c r="E3" s="72">
        <f t="shared" si="0"/>
        <v>0</v>
      </c>
      <c r="F3" s="72">
        <f t="shared" si="0"/>
        <v>0</v>
      </c>
      <c r="G3" s="72">
        <f t="shared" si="0"/>
        <v>0</v>
      </c>
      <c r="H3" s="72">
        <f t="shared" si="0"/>
        <v>0</v>
      </c>
      <c r="I3" s="73">
        <f t="shared" si="0"/>
        <v>0</v>
      </c>
      <c r="J3" s="73">
        <f t="shared" si="0"/>
        <v>295045</v>
      </c>
      <c r="K3" s="73">
        <f t="shared" si="0"/>
        <v>295045</v>
      </c>
      <c r="L3" s="72">
        <f t="shared" si="0"/>
        <v>0</v>
      </c>
      <c r="M3" s="72">
        <f t="shared" si="0"/>
        <v>0</v>
      </c>
      <c r="N3" s="72">
        <f t="shared" si="0"/>
        <v>0</v>
      </c>
      <c r="O3" s="72">
        <f t="shared" si="0"/>
        <v>0</v>
      </c>
      <c r="P3" s="72">
        <f t="shared" si="0"/>
        <v>0</v>
      </c>
      <c r="Q3" s="73">
        <f t="shared" si="0"/>
        <v>0</v>
      </c>
      <c r="R3" s="72"/>
      <c r="S3" s="73">
        <f t="shared" si="0"/>
        <v>0</v>
      </c>
      <c r="T3" s="73">
        <f t="shared" si="0"/>
        <v>0</v>
      </c>
      <c r="U3" s="72">
        <f t="shared" si="0"/>
        <v>0</v>
      </c>
      <c r="V3" s="72">
        <f t="shared" si="0"/>
        <v>0</v>
      </c>
      <c r="W3" s="72">
        <f t="shared" si="0"/>
        <v>0</v>
      </c>
      <c r="X3" s="72">
        <f t="shared" si="0"/>
        <v>0</v>
      </c>
      <c r="Y3" s="72">
        <f t="shared" si="0"/>
        <v>0</v>
      </c>
      <c r="Z3" s="73">
        <f t="shared" si="0"/>
        <v>0</v>
      </c>
      <c r="AA3" s="72"/>
    </row>
    <row r="4" spans="1:27" x14ac:dyDescent="0.3">
      <c r="A4" s="74" t="s">
        <v>273</v>
      </c>
      <c r="B4" s="75">
        <v>231222</v>
      </c>
      <c r="C4" s="75">
        <f>SUM(D4:H4)</f>
        <v>0</v>
      </c>
      <c r="D4" s="75">
        <f>SUM(E4:I4)</f>
        <v>0</v>
      </c>
      <c r="E4" s="76"/>
      <c r="F4" s="76"/>
      <c r="G4" s="76"/>
      <c r="H4" s="76"/>
      <c r="I4" s="77"/>
      <c r="J4" s="78">
        <v>295045</v>
      </c>
      <c r="K4" s="78">
        <v>295045</v>
      </c>
      <c r="L4" s="75">
        <f>SUM(M4:Q4)</f>
        <v>0</v>
      </c>
      <c r="M4" s="76"/>
      <c r="N4" s="76"/>
      <c r="O4" s="76"/>
      <c r="P4" s="76"/>
      <c r="Q4" s="77"/>
      <c r="R4" s="69"/>
      <c r="S4" s="78"/>
      <c r="T4" s="78">
        <v>0</v>
      </c>
      <c r="U4" s="75">
        <f>SUM(V4:Z4)</f>
        <v>0</v>
      </c>
      <c r="V4" s="76"/>
      <c r="W4" s="76"/>
      <c r="X4" s="76"/>
      <c r="Y4" s="76"/>
      <c r="Z4" s="77"/>
      <c r="AA4" s="69"/>
    </row>
    <row r="5" spans="1:27" x14ac:dyDescent="0.3">
      <c r="A5" s="71" t="s">
        <v>46</v>
      </c>
      <c r="B5" s="72">
        <f t="shared" ref="B5:Q5" si="1">SUM(B6:B20)</f>
        <v>218506.8</v>
      </c>
      <c r="C5" s="72">
        <f t="shared" si="1"/>
        <v>72095</v>
      </c>
      <c r="D5" s="72">
        <f t="shared" si="1"/>
        <v>146411.79999999999</v>
      </c>
      <c r="E5" s="72">
        <f t="shared" si="1"/>
        <v>66425</v>
      </c>
      <c r="F5" s="72">
        <f t="shared" si="1"/>
        <v>42244.800000000003</v>
      </c>
      <c r="G5" s="72">
        <f t="shared" si="1"/>
        <v>14900</v>
      </c>
      <c r="H5" s="72">
        <f t="shared" si="1"/>
        <v>5952</v>
      </c>
      <c r="I5" s="73">
        <f t="shared" si="1"/>
        <v>16890</v>
      </c>
      <c r="J5" s="72">
        <f t="shared" si="1"/>
        <v>221717</v>
      </c>
      <c r="K5" s="72">
        <f t="shared" si="1"/>
        <v>72896</v>
      </c>
      <c r="L5" s="72">
        <f t="shared" si="1"/>
        <v>148821</v>
      </c>
      <c r="M5" s="72">
        <f t="shared" si="1"/>
        <v>67089</v>
      </c>
      <c r="N5" s="72">
        <f t="shared" si="1"/>
        <v>42667</v>
      </c>
      <c r="O5" s="72">
        <f t="shared" si="1"/>
        <v>15157</v>
      </c>
      <c r="P5" s="72">
        <f t="shared" si="1"/>
        <v>6111</v>
      </c>
      <c r="Q5" s="73">
        <f t="shared" si="1"/>
        <v>17797</v>
      </c>
      <c r="R5" s="72"/>
      <c r="S5" s="72">
        <f t="shared" ref="S5:Z5" si="2">SUM(S6:S20)</f>
        <v>242403.4</v>
      </c>
      <c r="T5" s="72">
        <f t="shared" si="2"/>
        <v>78699</v>
      </c>
      <c r="U5" s="72">
        <f t="shared" si="2"/>
        <v>163704.4</v>
      </c>
      <c r="V5" s="72">
        <f t="shared" si="2"/>
        <v>74017</v>
      </c>
      <c r="W5" s="72">
        <f t="shared" si="2"/>
        <v>44571.4</v>
      </c>
      <c r="X5" s="72">
        <f t="shared" si="2"/>
        <v>15956</v>
      </c>
      <c r="Y5" s="72">
        <f t="shared" si="2"/>
        <v>6765</v>
      </c>
      <c r="Z5" s="73">
        <f t="shared" si="2"/>
        <v>22395</v>
      </c>
      <c r="AA5" s="72"/>
    </row>
    <row r="6" spans="1:27" x14ac:dyDescent="0.3">
      <c r="A6" s="79" t="s">
        <v>274</v>
      </c>
      <c r="B6" s="75">
        <f>C6+D6</f>
        <v>152994.79999999999</v>
      </c>
      <c r="C6" s="80">
        <f>(95000+20000)/2*1.01</f>
        <v>58075</v>
      </c>
      <c r="D6" s="75">
        <f>SUM(E6:I6)</f>
        <v>94919.8</v>
      </c>
      <c r="E6" s="80">
        <f>(95000+20000)/2*1.01</f>
        <v>58075</v>
      </c>
      <c r="F6" s="80">
        <f>12*(2500+300+240)*1.01</f>
        <v>36844.800000000003</v>
      </c>
      <c r="G6" s="80">
        <v>0</v>
      </c>
      <c r="H6" s="80">
        <v>0</v>
      </c>
      <c r="I6" s="81">
        <v>0</v>
      </c>
      <c r="J6" s="78">
        <f>ROUND(B6*R6,0)</f>
        <v>154525</v>
      </c>
      <c r="K6" s="80">
        <f>ROUND(C6/$B6*$J6,0)</f>
        <v>58656</v>
      </c>
      <c r="L6" s="75">
        <f>SUM(M6:Q6)</f>
        <v>95869</v>
      </c>
      <c r="M6" s="80">
        <f>ROUND(E6/$B6*$J6,0)</f>
        <v>58656</v>
      </c>
      <c r="N6" s="80">
        <f>ROUND(F6/$B6*$J6,0)</f>
        <v>37213</v>
      </c>
      <c r="O6" s="80">
        <f>ROUND(G6/$B6*$J6,0)</f>
        <v>0</v>
      </c>
      <c r="P6" s="80">
        <f>ROUND(H6/$B6*$J6,0)</f>
        <v>0</v>
      </c>
      <c r="Q6" s="80">
        <f>ROUND(I6/$B6*$J6,0)</f>
        <v>0</v>
      </c>
      <c r="R6" s="69">
        <v>1.01</v>
      </c>
      <c r="S6" s="78">
        <f>SUM(T6:U6)</f>
        <v>170062.4</v>
      </c>
      <c r="T6" s="80">
        <f>((29000*3)+12000+(8000*4))/2</f>
        <v>65500</v>
      </c>
      <c r="U6" s="75">
        <f>SUM(V6:Z6)</f>
        <v>104562.4</v>
      </c>
      <c r="V6" s="80">
        <f>+T6</f>
        <v>65500</v>
      </c>
      <c r="W6" s="80">
        <f>(2500+300+330)*1.04*12</f>
        <v>39062.400000000001</v>
      </c>
      <c r="X6" s="80">
        <f>ROUND(O6/$B6*$J6,0)</f>
        <v>0</v>
      </c>
      <c r="Y6" s="80">
        <f>ROUND(P6/$B6*$J6,0)</f>
        <v>0</v>
      </c>
      <c r="Z6" s="80">
        <f>ROUND(Q6/$B6*$J6,0)</f>
        <v>0</v>
      </c>
      <c r="AA6" s="69">
        <v>1</v>
      </c>
    </row>
    <row r="7" spans="1:27" hidden="1" x14ac:dyDescent="0.3">
      <c r="A7" s="79"/>
      <c r="B7" s="75"/>
      <c r="C7" s="80"/>
      <c r="D7" s="75"/>
      <c r="E7" s="80"/>
      <c r="F7" s="80"/>
      <c r="G7" s="80"/>
      <c r="H7" s="80"/>
      <c r="I7" s="81"/>
      <c r="J7" s="78"/>
      <c r="K7" s="80"/>
      <c r="L7" s="75"/>
      <c r="M7" s="80"/>
      <c r="N7" s="80"/>
      <c r="O7" s="80"/>
      <c r="P7" s="80"/>
      <c r="Q7" s="80"/>
      <c r="R7" s="69"/>
      <c r="S7" s="78"/>
      <c r="T7" s="80"/>
      <c r="U7" s="75"/>
      <c r="V7" s="80"/>
      <c r="W7" s="80"/>
      <c r="X7" s="80"/>
      <c r="Y7" s="80"/>
      <c r="Z7" s="80"/>
      <c r="AA7" s="69"/>
    </row>
    <row r="8" spans="1:27" hidden="1" x14ac:dyDescent="0.3">
      <c r="A8" s="79"/>
      <c r="B8" s="75"/>
      <c r="C8" s="80"/>
      <c r="D8" s="75"/>
      <c r="E8" s="80"/>
      <c r="F8" s="80"/>
      <c r="G8" s="80"/>
      <c r="H8" s="80"/>
      <c r="I8" s="81"/>
      <c r="J8" s="78"/>
      <c r="K8" s="80"/>
      <c r="L8" s="75"/>
      <c r="M8" s="80"/>
      <c r="N8" s="80"/>
      <c r="O8" s="80"/>
      <c r="P8" s="80"/>
      <c r="Q8" s="80"/>
      <c r="R8" s="69"/>
      <c r="S8" s="78"/>
      <c r="T8" s="80"/>
      <c r="U8" s="75"/>
      <c r="V8" s="80"/>
      <c r="W8" s="80"/>
      <c r="X8" s="80"/>
      <c r="Y8" s="80"/>
      <c r="Z8" s="80"/>
      <c r="AA8" s="69"/>
    </row>
    <row r="9" spans="1:27" hidden="1" x14ac:dyDescent="0.3">
      <c r="A9" s="79"/>
      <c r="B9" s="75"/>
      <c r="C9" s="80"/>
      <c r="D9" s="75"/>
      <c r="E9" s="80"/>
      <c r="F9" s="80"/>
      <c r="G9" s="80"/>
      <c r="H9" s="80"/>
      <c r="I9" s="81"/>
      <c r="J9" s="78"/>
      <c r="K9" s="80"/>
      <c r="L9" s="75"/>
      <c r="M9" s="80"/>
      <c r="N9" s="80"/>
      <c r="O9" s="80"/>
      <c r="P9" s="80"/>
      <c r="Q9" s="80"/>
      <c r="R9" s="69"/>
      <c r="S9" s="78"/>
      <c r="T9" s="80"/>
      <c r="U9" s="75"/>
      <c r="V9" s="80"/>
      <c r="W9" s="80"/>
      <c r="X9" s="80"/>
      <c r="Y9" s="80"/>
      <c r="Z9" s="80"/>
      <c r="AA9" s="69"/>
    </row>
    <row r="10" spans="1:27" x14ac:dyDescent="0.3">
      <c r="A10" s="74" t="s">
        <v>275</v>
      </c>
      <c r="B10" s="75">
        <f>C10+D10</f>
        <v>8000</v>
      </c>
      <c r="C10" s="80">
        <v>0</v>
      </c>
      <c r="D10" s="75">
        <f>SUM(E10:I10)</f>
        <v>8000</v>
      </c>
      <c r="E10" s="80">
        <v>0</v>
      </c>
      <c r="F10" s="80">
        <v>0</v>
      </c>
      <c r="G10" s="80">
        <f>4*2000</f>
        <v>8000</v>
      </c>
      <c r="H10" s="80">
        <v>0</v>
      </c>
      <c r="I10" s="81">
        <v>0</v>
      </c>
      <c r="J10" s="78">
        <f>ROUND(B10*R10,0)</f>
        <v>8080</v>
      </c>
      <c r="K10" s="80">
        <f>ROUND(C10/$B10*$J10,0)</f>
        <v>0</v>
      </c>
      <c r="L10" s="75">
        <f>SUM(M10:Q10)</f>
        <v>8080</v>
      </c>
      <c r="M10" s="80">
        <f t="shared" ref="M10:Q11" si="3">ROUND(E10/$B10*$J10,0)</f>
        <v>0</v>
      </c>
      <c r="N10" s="80">
        <f t="shared" si="3"/>
        <v>0</v>
      </c>
      <c r="O10" s="80">
        <f t="shared" si="3"/>
        <v>8080</v>
      </c>
      <c r="P10" s="80">
        <f t="shared" si="3"/>
        <v>0</v>
      </c>
      <c r="Q10" s="80">
        <f t="shared" si="3"/>
        <v>0</v>
      </c>
      <c r="R10" s="69">
        <v>1.01</v>
      </c>
      <c r="S10" s="78">
        <f>ROUND(J10*AA10,0)</f>
        <v>8161</v>
      </c>
      <c r="T10" s="80">
        <f>ROUND(K10/$J10*$S10,0)</f>
        <v>0</v>
      </c>
      <c r="U10" s="75">
        <f>SUM(V10:Z10)</f>
        <v>8161</v>
      </c>
      <c r="V10" s="80">
        <f>ROUND(M10/$B10*$J10,0)</f>
        <v>0</v>
      </c>
      <c r="W10" s="80">
        <f>ROUND(N10/$B10*$J10,0)</f>
        <v>0</v>
      </c>
      <c r="X10" s="80">
        <f>ROUND(O10/$B10*$J10,0)</f>
        <v>8161</v>
      </c>
      <c r="Y10" s="80">
        <f>ROUND(P10/$B10*$J10,0)</f>
        <v>0</v>
      </c>
      <c r="Z10" s="80">
        <f>ROUND(Q10/$B10*$J10,0)</f>
        <v>0</v>
      </c>
      <c r="AA10" s="69">
        <v>1.01</v>
      </c>
    </row>
    <row r="11" spans="1:27" x14ac:dyDescent="0.3">
      <c r="A11" s="74" t="s">
        <v>276</v>
      </c>
      <c r="B11" s="75">
        <f>C11+D11</f>
        <v>10500</v>
      </c>
      <c r="C11" s="80">
        <v>0</v>
      </c>
      <c r="D11" s="75">
        <f>SUM(E11:I11)</f>
        <v>10500</v>
      </c>
      <c r="E11" s="80">
        <v>0</v>
      </c>
      <c r="F11" s="80">
        <v>0</v>
      </c>
      <c r="G11" s="80">
        <v>1200</v>
      </c>
      <c r="H11" s="80">
        <v>1100</v>
      </c>
      <c r="I11" s="81">
        <v>8200</v>
      </c>
      <c r="J11" s="78">
        <f>ROUND(B11*R11,0)</f>
        <v>11550</v>
      </c>
      <c r="K11" s="80">
        <f>ROUND(C11/$B11*$J11,0)</f>
        <v>0</v>
      </c>
      <c r="L11" s="75">
        <f>SUM(M11:Q11)</f>
        <v>11550</v>
      </c>
      <c r="M11" s="80">
        <f t="shared" si="3"/>
        <v>0</v>
      </c>
      <c r="N11" s="80">
        <f t="shared" si="3"/>
        <v>0</v>
      </c>
      <c r="O11" s="80">
        <f t="shared" si="3"/>
        <v>1320</v>
      </c>
      <c r="P11" s="80">
        <f t="shared" si="3"/>
        <v>1210</v>
      </c>
      <c r="Q11" s="80">
        <f t="shared" si="3"/>
        <v>9020</v>
      </c>
      <c r="R11" s="69">
        <v>1.1000000000000001</v>
      </c>
      <c r="S11" s="78">
        <f>ROUND(J11*AA11,0)</f>
        <v>17325</v>
      </c>
      <c r="T11" s="80">
        <f>ROUND(K11/$J11*$S11,0)</f>
        <v>0</v>
      </c>
      <c r="U11" s="75">
        <f>SUM(V11:Z11)</f>
        <v>17325</v>
      </c>
      <c r="V11" s="80">
        <f>ROUND(M11/$B11*$J11,0)</f>
        <v>0</v>
      </c>
      <c r="W11" s="80">
        <f>ROUND(N11/$B11*$J11,0)</f>
        <v>0</v>
      </c>
      <c r="X11" s="80">
        <f>ROUND(O11/$J11*$S11,0)</f>
        <v>1980</v>
      </c>
      <c r="Y11" s="80">
        <f>ROUND(P11/$J11*$S11,0)</f>
        <v>1815</v>
      </c>
      <c r="Z11" s="80">
        <f>ROUND(Q11/$J11*$S11,0)</f>
        <v>13530</v>
      </c>
      <c r="AA11" s="69">
        <v>1.5</v>
      </c>
    </row>
    <row r="12" spans="1:27" hidden="1" x14ac:dyDescent="0.3">
      <c r="A12" s="74"/>
      <c r="B12" s="75"/>
      <c r="C12" s="80"/>
      <c r="D12" s="75"/>
      <c r="E12" s="80"/>
      <c r="F12" s="80"/>
      <c r="G12" s="80"/>
      <c r="H12" s="80"/>
      <c r="I12" s="81"/>
      <c r="J12" s="78"/>
      <c r="K12" s="80"/>
      <c r="L12" s="75"/>
      <c r="M12" s="80"/>
      <c r="N12" s="80"/>
      <c r="O12" s="80"/>
      <c r="P12" s="80"/>
      <c r="Q12" s="80"/>
      <c r="R12" s="69">
        <v>1.1000000000000001</v>
      </c>
      <c r="S12" s="78"/>
      <c r="T12" s="80"/>
      <c r="U12" s="75"/>
      <c r="V12" s="80"/>
      <c r="W12" s="80"/>
      <c r="X12" s="80"/>
      <c r="Y12" s="80"/>
      <c r="Z12" s="80"/>
      <c r="AA12" s="69">
        <v>1.1000000000000001</v>
      </c>
    </row>
    <row r="13" spans="1:27" hidden="1" x14ac:dyDescent="0.3">
      <c r="A13" s="74"/>
      <c r="B13" s="75"/>
      <c r="C13" s="80"/>
      <c r="D13" s="75"/>
      <c r="E13" s="80"/>
      <c r="F13" s="80"/>
      <c r="G13" s="80"/>
      <c r="H13" s="80"/>
      <c r="I13" s="81"/>
      <c r="J13" s="78"/>
      <c r="K13" s="80"/>
      <c r="L13" s="75"/>
      <c r="M13" s="80"/>
      <c r="N13" s="80"/>
      <c r="O13" s="80"/>
      <c r="P13" s="80"/>
      <c r="Q13" s="81"/>
      <c r="R13" s="69"/>
      <c r="S13" s="78"/>
      <c r="T13" s="80"/>
      <c r="U13" s="75"/>
      <c r="V13" s="80"/>
      <c r="W13" s="80"/>
      <c r="X13" s="80"/>
      <c r="Y13" s="80"/>
      <c r="Z13" s="81"/>
      <c r="AA13" s="69"/>
    </row>
    <row r="14" spans="1:27" hidden="1" x14ac:dyDescent="0.3">
      <c r="A14" s="74"/>
      <c r="B14" s="75"/>
      <c r="C14" s="80"/>
      <c r="D14" s="75"/>
      <c r="E14" s="80"/>
      <c r="F14" s="80"/>
      <c r="G14" s="80"/>
      <c r="H14" s="80"/>
      <c r="I14" s="81"/>
      <c r="J14" s="78"/>
      <c r="K14" s="80"/>
      <c r="L14" s="75"/>
      <c r="M14" s="80"/>
      <c r="N14" s="80"/>
      <c r="O14" s="80"/>
      <c r="P14" s="80"/>
      <c r="Q14" s="81"/>
      <c r="R14" s="69"/>
      <c r="S14" s="78"/>
      <c r="T14" s="80"/>
      <c r="U14" s="75"/>
      <c r="V14" s="80"/>
      <c r="W14" s="80"/>
      <c r="X14" s="80"/>
      <c r="Y14" s="80"/>
      <c r="Z14" s="81"/>
      <c r="AA14" s="69"/>
    </row>
    <row r="15" spans="1:27" hidden="1" x14ac:dyDescent="0.3">
      <c r="A15" s="74"/>
      <c r="B15" s="75"/>
      <c r="C15" s="80"/>
      <c r="D15" s="75"/>
      <c r="E15" s="80"/>
      <c r="F15" s="80"/>
      <c r="G15" s="80"/>
      <c r="H15" s="80"/>
      <c r="I15" s="81"/>
      <c r="J15" s="78"/>
      <c r="K15" s="80"/>
      <c r="L15" s="75"/>
      <c r="M15" s="80"/>
      <c r="N15" s="80"/>
      <c r="O15" s="80"/>
      <c r="P15" s="80"/>
      <c r="Q15" s="81"/>
      <c r="R15" s="69"/>
      <c r="S15" s="78"/>
      <c r="T15" s="80"/>
      <c r="U15" s="75"/>
      <c r="V15" s="80"/>
      <c r="W15" s="80"/>
      <c r="X15" s="80"/>
      <c r="Y15" s="80"/>
      <c r="Z15" s="81"/>
      <c r="AA15" s="69"/>
    </row>
    <row r="16" spans="1:27" hidden="1" x14ac:dyDescent="0.3">
      <c r="A16" s="74"/>
      <c r="B16" s="75"/>
      <c r="C16" s="80"/>
      <c r="D16" s="75"/>
      <c r="E16" s="80"/>
      <c r="F16" s="80"/>
      <c r="G16" s="80"/>
      <c r="H16" s="80"/>
      <c r="I16" s="81"/>
      <c r="J16" s="78"/>
      <c r="K16" s="80"/>
      <c r="L16" s="75"/>
      <c r="M16" s="80"/>
      <c r="N16" s="80"/>
      <c r="O16" s="80"/>
      <c r="P16" s="80"/>
      <c r="Q16" s="81"/>
      <c r="R16" s="69"/>
      <c r="S16" s="78"/>
      <c r="T16" s="80"/>
      <c r="U16" s="75"/>
      <c r="V16" s="80"/>
      <c r="W16" s="80"/>
      <c r="X16" s="80"/>
      <c r="Y16" s="80"/>
      <c r="Z16" s="81"/>
      <c r="AA16" s="69"/>
    </row>
    <row r="17" spans="1:27" x14ac:dyDescent="0.3">
      <c r="A17" s="79" t="s">
        <v>277</v>
      </c>
      <c r="B17" s="75">
        <f>C17+D17</f>
        <v>41912</v>
      </c>
      <c r="C17" s="80">
        <f>(16700/2)+570</f>
        <v>8920</v>
      </c>
      <c r="D17" s="75">
        <f>SUM(E17:I17)</f>
        <v>32992</v>
      </c>
      <c r="E17" s="80">
        <f>(16700/2)</f>
        <v>8350</v>
      </c>
      <c r="F17" s="80">
        <v>5400</v>
      </c>
      <c r="G17" s="80">
        <v>5700</v>
      </c>
      <c r="H17" s="80">
        <f>3600+120+132+1000</f>
        <v>4852</v>
      </c>
      <c r="I17" s="81">
        <f>7500+860+330</f>
        <v>8690</v>
      </c>
      <c r="J17" s="78">
        <f>ROUND(B17*R17,0)</f>
        <v>42331</v>
      </c>
      <c r="K17" s="80">
        <f>ROUND(C17/$B17*$J17,0)</f>
        <v>9009</v>
      </c>
      <c r="L17" s="75">
        <f>SUM(M17:Q17)</f>
        <v>33322</v>
      </c>
      <c r="M17" s="80">
        <f>ROUND(E17/$B17*$J17,0)</f>
        <v>8433</v>
      </c>
      <c r="N17" s="80">
        <f>ROUND(F17/$B17*$J17,0)</f>
        <v>5454</v>
      </c>
      <c r="O17" s="80">
        <f>ROUND(G17/$B17*$J17,0)</f>
        <v>5757</v>
      </c>
      <c r="P17" s="80">
        <f>ROUND(H17/$B17*$J17,0)</f>
        <v>4901</v>
      </c>
      <c r="Q17" s="80">
        <f>ROUND(I17/$B17*$J17,0)</f>
        <v>8777</v>
      </c>
      <c r="R17" s="69">
        <v>1.01</v>
      </c>
      <c r="S17" s="78">
        <f>ROUND(J17*AA17,0)+1</f>
        <v>42755</v>
      </c>
      <c r="T17" s="80">
        <f>ROUND(K17/$J17*$S17,0)</f>
        <v>9099</v>
      </c>
      <c r="U17" s="75">
        <f>SUM(V17:Z17)</f>
        <v>33656</v>
      </c>
      <c r="V17" s="80">
        <f>ROUND(M17/$J17*$S17,0)</f>
        <v>8517</v>
      </c>
      <c r="W17" s="80">
        <f>ROUND(N17/$J17*$S17,0)</f>
        <v>5509</v>
      </c>
      <c r="X17" s="80">
        <f>ROUND(O17/$J17*$S17,0)</f>
        <v>5815</v>
      </c>
      <c r="Y17" s="80">
        <f>ROUND(P17/$J17*$S17,0)</f>
        <v>4950</v>
      </c>
      <c r="Z17" s="80">
        <f>ROUND(Q17/$J17*$S17,0)</f>
        <v>8865</v>
      </c>
      <c r="AA17" s="69">
        <v>1.01</v>
      </c>
    </row>
    <row r="18" spans="1:27" x14ac:dyDescent="0.3">
      <c r="A18" s="74" t="s">
        <v>278</v>
      </c>
      <c r="B18" s="75">
        <f>C18+D18</f>
        <v>3100</v>
      </c>
      <c r="C18" s="80">
        <v>3100</v>
      </c>
      <c r="D18" s="75">
        <f>SUM(E18:I18)</f>
        <v>0</v>
      </c>
      <c r="E18" s="80"/>
      <c r="F18" s="80"/>
      <c r="G18" s="80"/>
      <c r="H18" s="80"/>
      <c r="I18" s="81"/>
      <c r="J18" s="78">
        <f>ROUND(B18*R18,0)</f>
        <v>3131</v>
      </c>
      <c r="K18" s="80">
        <f>ROUND(C18/$B18*$J18,0)</f>
        <v>3131</v>
      </c>
      <c r="L18" s="75">
        <f>SUM(M18:Q18)</f>
        <v>0</v>
      </c>
      <c r="M18" s="80"/>
      <c r="N18" s="80"/>
      <c r="O18" s="80"/>
      <c r="P18" s="80"/>
      <c r="Q18" s="81"/>
      <c r="R18" s="69">
        <v>1.01</v>
      </c>
      <c r="S18" s="78">
        <f>SUM(T18:U18)</f>
        <v>2000</v>
      </c>
      <c r="T18" s="80">
        <v>2000</v>
      </c>
      <c r="U18" s="75">
        <f>SUM(V18:Z18)</f>
        <v>0</v>
      </c>
      <c r="V18" s="80"/>
      <c r="W18" s="80"/>
      <c r="X18" s="80"/>
      <c r="Y18" s="80"/>
      <c r="Z18" s="81"/>
      <c r="AA18" s="69">
        <v>1</v>
      </c>
    </row>
    <row r="19" spans="1:27" x14ac:dyDescent="0.3">
      <c r="A19" s="79" t="s">
        <v>279</v>
      </c>
      <c r="B19" s="75">
        <f>C19+D19</f>
        <v>2000</v>
      </c>
      <c r="C19" s="80">
        <v>2000</v>
      </c>
      <c r="D19" s="75">
        <f>SUM(E19:I19)</f>
        <v>0</v>
      </c>
      <c r="E19" s="80"/>
      <c r="F19" s="80"/>
      <c r="G19" s="80"/>
      <c r="H19" s="80"/>
      <c r="I19" s="81"/>
      <c r="J19" s="78">
        <f>ROUND(B19*R19,0)</f>
        <v>2100</v>
      </c>
      <c r="K19" s="80">
        <f>ROUND(C19/$B19*$J19,0)</f>
        <v>2100</v>
      </c>
      <c r="L19" s="75">
        <f>SUM(M19:Q19)</f>
        <v>0</v>
      </c>
      <c r="M19" s="80"/>
      <c r="N19" s="80"/>
      <c r="O19" s="80"/>
      <c r="P19" s="80"/>
      <c r="Q19" s="81"/>
      <c r="R19" s="69">
        <v>1.05</v>
      </c>
      <c r="S19" s="78">
        <f>SUM(T19:U19)</f>
        <v>2100</v>
      </c>
      <c r="T19" s="80">
        <v>2100</v>
      </c>
      <c r="U19" s="75">
        <f>SUM(V19:Z19)</f>
        <v>0</v>
      </c>
      <c r="V19" s="80"/>
      <c r="W19" s="80"/>
      <c r="X19" s="80"/>
      <c r="Y19" s="80"/>
      <c r="Z19" s="81"/>
      <c r="AA19" s="69">
        <v>1</v>
      </c>
    </row>
    <row r="20" spans="1:27" hidden="1" x14ac:dyDescent="0.3">
      <c r="A20" s="79" t="s">
        <v>61</v>
      </c>
      <c r="B20" s="75">
        <f>+C20+D20</f>
        <v>0</v>
      </c>
      <c r="C20" s="80">
        <v>0</v>
      </c>
      <c r="D20" s="75">
        <f>SUM(E20:I20)</f>
        <v>0</v>
      </c>
      <c r="E20" s="80"/>
      <c r="F20" s="80"/>
      <c r="G20" s="80"/>
      <c r="H20" s="80"/>
      <c r="I20" s="81"/>
      <c r="J20" s="78">
        <f>B20*R20</f>
        <v>0</v>
      </c>
      <c r="K20" s="80">
        <v>0</v>
      </c>
      <c r="L20" s="75">
        <f>SUM(M20:Q20)</f>
        <v>0</v>
      </c>
      <c r="M20" s="80"/>
      <c r="N20" s="80"/>
      <c r="O20" s="80"/>
      <c r="P20" s="80"/>
      <c r="Q20" s="81"/>
      <c r="R20" s="69">
        <v>1.01</v>
      </c>
      <c r="S20" s="78">
        <f>J20*AA20</f>
        <v>0</v>
      </c>
      <c r="T20" s="80">
        <v>0</v>
      </c>
      <c r="U20" s="75">
        <f>SUM(V20:Z20)</f>
        <v>0</v>
      </c>
      <c r="V20" s="80"/>
      <c r="W20" s="80"/>
      <c r="X20" s="80"/>
      <c r="Y20" s="80"/>
      <c r="Z20" s="81"/>
      <c r="AA20" s="69">
        <v>1.01</v>
      </c>
    </row>
    <row r="21" spans="1:27" x14ac:dyDescent="0.3">
      <c r="A21" s="71" t="s">
        <v>280</v>
      </c>
      <c r="B21" s="72">
        <f t="shared" ref="B21:Q21" si="4">SUM(B22:B31)</f>
        <v>104870</v>
      </c>
      <c r="C21" s="72">
        <f t="shared" si="4"/>
        <v>71810</v>
      </c>
      <c r="D21" s="72">
        <f t="shared" si="4"/>
        <v>33060</v>
      </c>
      <c r="E21" s="72">
        <f t="shared" si="4"/>
        <v>11740</v>
      </c>
      <c r="F21" s="72">
        <f t="shared" si="4"/>
        <v>5680</v>
      </c>
      <c r="G21" s="72">
        <f t="shared" si="4"/>
        <v>5300</v>
      </c>
      <c r="H21" s="72">
        <f t="shared" si="4"/>
        <v>4840</v>
      </c>
      <c r="I21" s="72">
        <f t="shared" si="4"/>
        <v>5500</v>
      </c>
      <c r="J21" s="72">
        <f t="shared" si="4"/>
        <v>107006</v>
      </c>
      <c r="K21" s="72">
        <f t="shared" si="4"/>
        <v>72955</v>
      </c>
      <c r="L21" s="72">
        <f t="shared" si="4"/>
        <v>34051</v>
      </c>
      <c r="M21" s="72">
        <f t="shared" si="4"/>
        <v>12092</v>
      </c>
      <c r="N21" s="72">
        <f t="shared" si="4"/>
        <v>5850</v>
      </c>
      <c r="O21" s="72">
        <f t="shared" si="4"/>
        <v>5459</v>
      </c>
      <c r="P21" s="72">
        <f t="shared" si="4"/>
        <v>4985</v>
      </c>
      <c r="Q21" s="72">
        <f t="shared" si="4"/>
        <v>5665</v>
      </c>
      <c r="R21" s="72"/>
      <c r="S21" s="72">
        <f t="shared" ref="S21:Z21" si="5">SUM(S22:S31)</f>
        <v>109522</v>
      </c>
      <c r="T21" s="72">
        <f t="shared" si="5"/>
        <v>74586</v>
      </c>
      <c r="U21" s="72">
        <f t="shared" si="5"/>
        <v>34936</v>
      </c>
      <c r="V21" s="72">
        <f t="shared" si="5"/>
        <v>12423</v>
      </c>
      <c r="W21" s="72">
        <f t="shared" si="5"/>
        <v>5992</v>
      </c>
      <c r="X21" s="72">
        <f t="shared" si="5"/>
        <v>5597</v>
      </c>
      <c r="Y21" s="72">
        <f t="shared" si="5"/>
        <v>5119</v>
      </c>
      <c r="Z21" s="72">
        <f t="shared" si="5"/>
        <v>5805</v>
      </c>
      <c r="AA21" s="72"/>
    </row>
    <row r="22" spans="1:27" x14ac:dyDescent="0.3">
      <c r="A22" s="74" t="s">
        <v>77</v>
      </c>
      <c r="B22" s="75">
        <f t="shared" ref="B22:B31" si="6">C22+D22</f>
        <v>5500</v>
      </c>
      <c r="C22" s="80">
        <v>5500</v>
      </c>
      <c r="D22" s="75">
        <f>SUM(E22:I22)</f>
        <v>0</v>
      </c>
      <c r="E22" s="80"/>
      <c r="F22" s="80"/>
      <c r="G22" s="80"/>
      <c r="H22" s="80"/>
      <c r="I22" s="81"/>
      <c r="J22" s="78">
        <f t="shared" ref="J22:J31" si="7">ROUND(B22*R22,0)</f>
        <v>5555</v>
      </c>
      <c r="K22" s="80">
        <f>ROUND(C22/$B22*$J22,0)</f>
        <v>5555</v>
      </c>
      <c r="L22" s="75">
        <f t="shared" ref="L22:L31" si="8">SUM(M22:Q22)</f>
        <v>0</v>
      </c>
      <c r="M22" s="80"/>
      <c r="N22" s="80"/>
      <c r="O22" s="80"/>
      <c r="P22" s="80"/>
      <c r="Q22" s="81"/>
      <c r="R22" s="69">
        <v>1.01</v>
      </c>
      <c r="S22" s="78">
        <f>ROUND(J22*AA22,0)</f>
        <v>5611</v>
      </c>
      <c r="T22" s="80">
        <f>ROUND(K22/$J22*$S22,0)</f>
        <v>5611</v>
      </c>
      <c r="U22" s="75">
        <f t="shared" ref="U22:U31" si="9">SUM(V22:Z22)</f>
        <v>0</v>
      </c>
      <c r="V22" s="80"/>
      <c r="W22" s="80"/>
      <c r="X22" s="80"/>
      <c r="Y22" s="80"/>
      <c r="Z22" s="81"/>
      <c r="AA22" s="69">
        <v>1.01</v>
      </c>
    </row>
    <row r="23" spans="1:27" x14ac:dyDescent="0.3">
      <c r="A23" s="74" t="s">
        <v>281</v>
      </c>
      <c r="B23" s="75">
        <f t="shared" si="6"/>
        <v>10000</v>
      </c>
      <c r="C23" s="80">
        <f>10000*35%</f>
        <v>3500</v>
      </c>
      <c r="D23" s="75">
        <f>SUM(E23:I23)</f>
        <v>6500</v>
      </c>
      <c r="E23" s="80">
        <f>10000*25%</f>
        <v>2500</v>
      </c>
      <c r="F23" s="80">
        <f>10000*10%</f>
        <v>1000</v>
      </c>
      <c r="G23" s="80">
        <f>10000*10%</f>
        <v>1000</v>
      </c>
      <c r="H23" s="80">
        <f>10000*10%</f>
        <v>1000</v>
      </c>
      <c r="I23" s="81">
        <f>10000*10%</f>
        <v>1000</v>
      </c>
      <c r="J23" s="78">
        <f t="shared" si="7"/>
        <v>10100</v>
      </c>
      <c r="K23" s="80">
        <f>ROUND(C23/$B23*$J23,0)</f>
        <v>3535</v>
      </c>
      <c r="L23" s="75">
        <f t="shared" si="8"/>
        <v>6565</v>
      </c>
      <c r="M23" s="80">
        <f>ROUND(E23/$B23*$J23,0)</f>
        <v>2525</v>
      </c>
      <c r="N23" s="80">
        <f>ROUND(F23/$B23*$J23,0)</f>
        <v>1010</v>
      </c>
      <c r="O23" s="80">
        <f>ROUND(G23/$B23*$J23,0)</f>
        <v>1010</v>
      </c>
      <c r="P23" s="80">
        <f>ROUND(H23/$B23*$J23,0)</f>
        <v>1010</v>
      </c>
      <c r="Q23" s="80">
        <f>ROUND(I23/$B23*$J23,0)</f>
        <v>1010</v>
      </c>
      <c r="R23" s="69">
        <v>1.01</v>
      </c>
      <c r="S23" s="78">
        <f>ROUND(J23*AA23,0)-1</f>
        <v>10200</v>
      </c>
      <c r="T23" s="80">
        <f t="shared" ref="T23:T29" si="10">ROUND(K23/$J23*$S23,0)</f>
        <v>3570</v>
      </c>
      <c r="U23" s="75">
        <f t="shared" si="9"/>
        <v>6630</v>
      </c>
      <c r="V23" s="80">
        <f>ROUND(M23/$J23*$S23,0)</f>
        <v>2550</v>
      </c>
      <c r="W23" s="80">
        <f>ROUND(N23/$J23*$S23,0)</f>
        <v>1020</v>
      </c>
      <c r="X23" s="80">
        <f>ROUND(O23/$J23*$S23,0)</f>
        <v>1020</v>
      </c>
      <c r="Y23" s="80">
        <f>ROUND(P23/$J23*$S23,0)</f>
        <v>1020</v>
      </c>
      <c r="Z23" s="80">
        <f>ROUND(Q23/$J23*$S23,0)</f>
        <v>1020</v>
      </c>
      <c r="AA23" s="69">
        <v>1.01</v>
      </c>
    </row>
    <row r="24" spans="1:27" x14ac:dyDescent="0.3">
      <c r="A24" s="79" t="s">
        <v>282</v>
      </c>
      <c r="B24" s="75">
        <f t="shared" si="6"/>
        <v>14000</v>
      </c>
      <c r="C24" s="80">
        <v>14000</v>
      </c>
      <c r="D24" s="75">
        <f>SUM(E24:I24)</f>
        <v>0</v>
      </c>
      <c r="E24" s="80"/>
      <c r="F24" s="80"/>
      <c r="G24" s="80"/>
      <c r="H24" s="80"/>
      <c r="I24" s="81"/>
      <c r="J24" s="78">
        <f t="shared" si="7"/>
        <v>14140</v>
      </c>
      <c r="K24" s="80">
        <f>ROUND(C24/$B24*$J24,0)</f>
        <v>14140</v>
      </c>
      <c r="L24" s="75">
        <f t="shared" si="8"/>
        <v>0</v>
      </c>
      <c r="M24" s="80"/>
      <c r="N24" s="80"/>
      <c r="O24" s="80"/>
      <c r="P24" s="80"/>
      <c r="Q24" s="81"/>
      <c r="R24" s="69">
        <v>1.01</v>
      </c>
      <c r="S24" s="78">
        <f>ROUND(J24*AA24,0)</f>
        <v>14847</v>
      </c>
      <c r="T24" s="80">
        <f t="shared" si="10"/>
        <v>14847</v>
      </c>
      <c r="U24" s="75">
        <f t="shared" si="9"/>
        <v>0</v>
      </c>
      <c r="V24" s="80"/>
      <c r="W24" s="80"/>
      <c r="X24" s="80"/>
      <c r="Y24" s="80"/>
      <c r="Z24" s="81"/>
      <c r="AA24" s="69">
        <v>1.05</v>
      </c>
    </row>
    <row r="25" spans="1:27" x14ac:dyDescent="0.3">
      <c r="A25" s="74" t="s">
        <v>283</v>
      </c>
      <c r="B25" s="75">
        <f t="shared" si="6"/>
        <v>12370</v>
      </c>
      <c r="C25" s="80">
        <f>2310+3000</f>
        <v>5310</v>
      </c>
      <c r="D25" s="75">
        <f t="shared" ref="D25:D30" si="11">SUM(E25:I25)</f>
        <v>7060</v>
      </c>
      <c r="E25" s="80">
        <v>1740</v>
      </c>
      <c r="F25" s="80">
        <v>1680</v>
      </c>
      <c r="G25" s="80">
        <v>1300</v>
      </c>
      <c r="H25" s="80">
        <v>840</v>
      </c>
      <c r="I25" s="81">
        <v>1500</v>
      </c>
      <c r="J25" s="78">
        <f t="shared" si="7"/>
        <v>12741</v>
      </c>
      <c r="K25" s="80">
        <f>ROUND(C25/$B25*$J25,0)+1</f>
        <v>5470</v>
      </c>
      <c r="L25" s="75">
        <f t="shared" si="8"/>
        <v>7271</v>
      </c>
      <c r="M25" s="80">
        <f>ROUND(E25/$B25*$J25,0)</f>
        <v>1792</v>
      </c>
      <c r="N25" s="80">
        <f>ROUND(F25/$B25*$J25,0)</f>
        <v>1730</v>
      </c>
      <c r="O25" s="80">
        <f>ROUND(G25/$B25*$J25,0)</f>
        <v>1339</v>
      </c>
      <c r="P25" s="80">
        <f>ROUND(H25/$B25*$J25,0)</f>
        <v>865</v>
      </c>
      <c r="Q25" s="80">
        <f>ROUND(I25/$B25*$J25,0)</f>
        <v>1545</v>
      </c>
      <c r="R25" s="69">
        <v>1.03</v>
      </c>
      <c r="S25" s="78">
        <f>ROUND(J25*AA25,0)</f>
        <v>12868</v>
      </c>
      <c r="T25" s="80">
        <f t="shared" si="10"/>
        <v>5525</v>
      </c>
      <c r="U25" s="75">
        <f t="shared" si="9"/>
        <v>7343</v>
      </c>
      <c r="V25" s="80">
        <f>ROUND(M25/$J25*$S25,0)</f>
        <v>1810</v>
      </c>
      <c r="W25" s="80">
        <f>ROUND(N25/$J25*$S25,0)</f>
        <v>1747</v>
      </c>
      <c r="X25" s="80">
        <f>ROUND(O25/$J25*$S25,0)</f>
        <v>1352</v>
      </c>
      <c r="Y25" s="80">
        <f>ROUND(P25/$J25*$S25,0)</f>
        <v>874</v>
      </c>
      <c r="Z25" s="80">
        <f>ROUND(Q25/$J25*$S25,0)</f>
        <v>1560</v>
      </c>
      <c r="AA25" s="69">
        <v>1.01</v>
      </c>
    </row>
    <row r="26" spans="1:27" x14ac:dyDescent="0.3">
      <c r="A26" s="74" t="s">
        <v>284</v>
      </c>
      <c r="B26" s="75">
        <f t="shared" si="6"/>
        <v>30000</v>
      </c>
      <c r="C26" s="80">
        <v>30000</v>
      </c>
      <c r="D26" s="75">
        <f>SUM(E26:I26)</f>
        <v>0</v>
      </c>
      <c r="E26" s="80"/>
      <c r="F26" s="80"/>
      <c r="G26" s="80"/>
      <c r="H26" s="80"/>
      <c r="I26" s="81"/>
      <c r="J26" s="78">
        <f t="shared" si="7"/>
        <v>30300</v>
      </c>
      <c r="K26" s="80">
        <f>ROUND(C26/$B26*$J26,0)</f>
        <v>30300</v>
      </c>
      <c r="L26" s="75">
        <f t="shared" si="8"/>
        <v>0</v>
      </c>
      <c r="M26" s="80"/>
      <c r="N26" s="80"/>
      <c r="O26" s="80"/>
      <c r="P26" s="80"/>
      <c r="Q26" s="81"/>
      <c r="R26" s="69">
        <v>1.01</v>
      </c>
      <c r="S26" s="78">
        <f>ROUND(J26*AA26,0)</f>
        <v>30603</v>
      </c>
      <c r="T26" s="80">
        <f t="shared" si="10"/>
        <v>30603</v>
      </c>
      <c r="U26" s="75">
        <f t="shared" si="9"/>
        <v>0</v>
      </c>
      <c r="V26" s="80"/>
      <c r="W26" s="80"/>
      <c r="X26" s="80"/>
      <c r="Y26" s="80"/>
      <c r="Z26" s="81"/>
      <c r="AA26" s="69">
        <v>1.01</v>
      </c>
    </row>
    <row r="27" spans="1:27" ht="15.75" customHeight="1" x14ac:dyDescent="0.3">
      <c r="A27" s="74" t="s">
        <v>285</v>
      </c>
      <c r="B27" s="75">
        <f t="shared" si="6"/>
        <v>21000</v>
      </c>
      <c r="C27" s="80">
        <v>8000</v>
      </c>
      <c r="D27" s="75">
        <f t="shared" si="11"/>
        <v>13000</v>
      </c>
      <c r="E27" s="80">
        <f>20000*25%</f>
        <v>5000</v>
      </c>
      <c r="F27" s="80">
        <f>20000*10%</f>
        <v>2000</v>
      </c>
      <c r="G27" s="80">
        <f>20000*10%</f>
        <v>2000</v>
      </c>
      <c r="H27" s="80">
        <f>20000*10%</f>
        <v>2000</v>
      </c>
      <c r="I27" s="81">
        <f>20000*10%</f>
        <v>2000</v>
      </c>
      <c r="J27" s="78">
        <f t="shared" si="7"/>
        <v>22050</v>
      </c>
      <c r="K27" s="80">
        <f>ROUND(C27/$B27*$J27,0)</f>
        <v>8400</v>
      </c>
      <c r="L27" s="75">
        <f t="shared" si="8"/>
        <v>13650</v>
      </c>
      <c r="M27" s="80">
        <f>ROUND(E27/$B27*$J27,0)</f>
        <v>5250</v>
      </c>
      <c r="N27" s="80">
        <f>ROUND(F27/$B27*$J27,0)</f>
        <v>2100</v>
      </c>
      <c r="O27" s="80">
        <f>ROUND(G27/$B27*$J27,0)</f>
        <v>2100</v>
      </c>
      <c r="P27" s="80">
        <f>ROUND(H27/$B27*$J27,0)</f>
        <v>2100</v>
      </c>
      <c r="Q27" s="80">
        <f>ROUND(I27/$B27*$J27,0)</f>
        <v>2100</v>
      </c>
      <c r="R27" s="69">
        <v>1.05</v>
      </c>
      <c r="S27" s="78">
        <f>ROUND(J27*AA27,0)</f>
        <v>23153</v>
      </c>
      <c r="T27" s="80">
        <f t="shared" si="10"/>
        <v>8820</v>
      </c>
      <c r="U27" s="75">
        <f t="shared" si="9"/>
        <v>14333</v>
      </c>
      <c r="V27" s="80">
        <f>ROUND(M27/$J27*$S27,0)</f>
        <v>5513</v>
      </c>
      <c r="W27" s="80">
        <f>ROUND(N27/$J27*$S27,0)</f>
        <v>2205</v>
      </c>
      <c r="X27" s="80">
        <f>ROUND(O27/$J27*$S27,0)</f>
        <v>2205</v>
      </c>
      <c r="Y27" s="80">
        <f>ROUND(P27/$J27*$S27,0)</f>
        <v>2205</v>
      </c>
      <c r="Z27" s="80">
        <f>ROUND(Q27/$J27*$S27,0)</f>
        <v>2205</v>
      </c>
      <c r="AA27" s="69">
        <v>1.05</v>
      </c>
    </row>
    <row r="28" spans="1:27" x14ac:dyDescent="0.3">
      <c r="A28" s="79" t="s">
        <v>70</v>
      </c>
      <c r="B28" s="75">
        <f t="shared" si="6"/>
        <v>2000</v>
      </c>
      <c r="C28" s="80">
        <v>2000</v>
      </c>
      <c r="D28" s="75">
        <f t="shared" si="11"/>
        <v>0</v>
      </c>
      <c r="E28" s="80"/>
      <c r="F28" s="80"/>
      <c r="G28" s="80"/>
      <c r="H28" s="80"/>
      <c r="I28" s="81"/>
      <c r="J28" s="78">
        <f t="shared" si="7"/>
        <v>2020</v>
      </c>
      <c r="K28" s="80">
        <f>ROUND(C28/$B28*$J28,0)</f>
        <v>2020</v>
      </c>
      <c r="L28" s="75">
        <f t="shared" si="8"/>
        <v>0</v>
      </c>
      <c r="M28" s="80"/>
      <c r="N28" s="80"/>
      <c r="O28" s="80"/>
      <c r="P28" s="80"/>
      <c r="Q28" s="81"/>
      <c r="R28" s="69">
        <v>1.01</v>
      </c>
      <c r="S28" s="78">
        <f>ROUND(J28*AA28,0)</f>
        <v>2040</v>
      </c>
      <c r="T28" s="80">
        <f t="shared" si="10"/>
        <v>2040</v>
      </c>
      <c r="U28" s="75">
        <f t="shared" si="9"/>
        <v>0</v>
      </c>
      <c r="V28" s="80"/>
      <c r="W28" s="80"/>
      <c r="X28" s="80"/>
      <c r="Y28" s="80"/>
      <c r="Z28" s="81"/>
      <c r="AA28" s="69">
        <v>1.01</v>
      </c>
    </row>
    <row r="29" spans="1:27" x14ac:dyDescent="0.3">
      <c r="A29" s="74" t="s">
        <v>80</v>
      </c>
      <c r="B29" s="75">
        <f t="shared" si="6"/>
        <v>10000</v>
      </c>
      <c r="C29" s="80">
        <v>3500</v>
      </c>
      <c r="D29" s="75">
        <f>SUM(E29:I29)</f>
        <v>6500</v>
      </c>
      <c r="E29" s="80">
        <v>2500</v>
      </c>
      <c r="F29" s="80">
        <v>1000</v>
      </c>
      <c r="G29" s="80">
        <v>1000</v>
      </c>
      <c r="H29" s="80">
        <v>1000</v>
      </c>
      <c r="I29" s="81">
        <v>1000</v>
      </c>
      <c r="J29" s="78">
        <f t="shared" si="7"/>
        <v>10100</v>
      </c>
      <c r="K29" s="80">
        <f>ROUND(C29/$B29*$J29,0)</f>
        <v>3535</v>
      </c>
      <c r="L29" s="75">
        <f t="shared" si="8"/>
        <v>6565</v>
      </c>
      <c r="M29" s="80">
        <f>ROUND(E29/$B29*$J29,0)</f>
        <v>2525</v>
      </c>
      <c r="N29" s="80">
        <f>ROUND(F29/$B29*$J29,0)</f>
        <v>1010</v>
      </c>
      <c r="O29" s="80">
        <f>ROUND(G29/$B29*$J29,0)</f>
        <v>1010</v>
      </c>
      <c r="P29" s="80">
        <f>ROUND(H29/$B29*$J29,0)</f>
        <v>1010</v>
      </c>
      <c r="Q29" s="80">
        <f>ROUND(I29/$B29*$J29,0)</f>
        <v>1010</v>
      </c>
      <c r="R29" s="69">
        <v>1.01</v>
      </c>
      <c r="S29" s="78">
        <f>ROUND(J29*AA29,0)-1</f>
        <v>10200</v>
      </c>
      <c r="T29" s="80">
        <f t="shared" si="10"/>
        <v>3570</v>
      </c>
      <c r="U29" s="75">
        <f t="shared" si="9"/>
        <v>6630</v>
      </c>
      <c r="V29" s="80">
        <f>ROUND(M29/$J29*$S29,0)</f>
        <v>2550</v>
      </c>
      <c r="W29" s="80">
        <f>ROUND(N29/$J29*$S29,0)</f>
        <v>1020</v>
      </c>
      <c r="X29" s="80">
        <f>ROUND(O29/$J29*$S29,0)</f>
        <v>1020</v>
      </c>
      <c r="Y29" s="80">
        <f>ROUND(P29/$J29*$S29,0)</f>
        <v>1020</v>
      </c>
      <c r="Z29" s="80">
        <f>ROUND(Q29/$J29*$S29,0)</f>
        <v>1020</v>
      </c>
      <c r="AA29" s="69">
        <v>1.01</v>
      </c>
    </row>
    <row r="30" spans="1:27" hidden="1" x14ac:dyDescent="0.3">
      <c r="A30" s="79" t="s">
        <v>82</v>
      </c>
      <c r="B30" s="75">
        <f t="shared" si="6"/>
        <v>0</v>
      </c>
      <c r="C30" s="80">
        <v>0</v>
      </c>
      <c r="D30" s="75">
        <f t="shared" si="11"/>
        <v>0</v>
      </c>
      <c r="E30" s="80"/>
      <c r="F30" s="80"/>
      <c r="G30" s="80"/>
      <c r="H30" s="80"/>
      <c r="I30" s="81"/>
      <c r="J30" s="78">
        <f t="shared" si="7"/>
        <v>0</v>
      </c>
      <c r="K30" s="80">
        <v>0</v>
      </c>
      <c r="L30" s="75">
        <f t="shared" si="8"/>
        <v>0</v>
      </c>
      <c r="M30" s="80"/>
      <c r="N30" s="80"/>
      <c r="O30" s="80"/>
      <c r="P30" s="80"/>
      <c r="Q30" s="81"/>
      <c r="R30" s="69">
        <v>1.01</v>
      </c>
      <c r="S30" s="78">
        <f>ROUND(J30*AA30,0)</f>
        <v>0</v>
      </c>
      <c r="T30" s="80">
        <v>0</v>
      </c>
      <c r="U30" s="75">
        <f t="shared" si="9"/>
        <v>0</v>
      </c>
      <c r="V30" s="80"/>
      <c r="W30" s="80"/>
      <c r="X30" s="80"/>
      <c r="Y30" s="80"/>
      <c r="Z30" s="81"/>
      <c r="AA30" s="69">
        <v>1.01</v>
      </c>
    </row>
    <row r="31" spans="1:27" x14ac:dyDescent="0.3">
      <c r="A31" s="79" t="s">
        <v>286</v>
      </c>
      <c r="B31" s="75">
        <f t="shared" si="6"/>
        <v>0</v>
      </c>
      <c r="C31" s="80">
        <v>0</v>
      </c>
      <c r="D31" s="75">
        <f>SUM(E31:I31)</f>
        <v>0</v>
      </c>
      <c r="E31" s="80"/>
      <c r="F31" s="80"/>
      <c r="G31" s="80"/>
      <c r="H31" s="80"/>
      <c r="I31" s="81"/>
      <c r="J31" s="78">
        <f t="shared" si="7"/>
        <v>0</v>
      </c>
      <c r="K31" s="80">
        <v>0</v>
      </c>
      <c r="L31" s="75">
        <f t="shared" si="8"/>
        <v>0</v>
      </c>
      <c r="M31" s="80"/>
      <c r="N31" s="80"/>
      <c r="O31" s="80"/>
      <c r="P31" s="80"/>
      <c r="Q31" s="81"/>
      <c r="R31" s="69">
        <v>1.01</v>
      </c>
      <c r="S31" s="78">
        <f>SUM(T31)</f>
        <v>0</v>
      </c>
      <c r="T31" s="80">
        <v>0</v>
      </c>
      <c r="U31" s="75">
        <f t="shared" si="9"/>
        <v>0</v>
      </c>
      <c r="V31" s="80"/>
      <c r="W31" s="80"/>
      <c r="X31" s="80"/>
      <c r="Y31" s="80"/>
      <c r="Z31" s="81"/>
      <c r="AA31" s="69">
        <v>1</v>
      </c>
    </row>
    <row r="32" spans="1:27" x14ac:dyDescent="0.3">
      <c r="A32" s="71" t="s">
        <v>86</v>
      </c>
      <c r="B32" s="72">
        <f t="shared" ref="B32:Q32" si="12">SUM(B33:B37)</f>
        <v>55500</v>
      </c>
      <c r="C32" s="72">
        <f t="shared" si="12"/>
        <v>55500</v>
      </c>
      <c r="D32" s="72">
        <f t="shared" si="12"/>
        <v>0</v>
      </c>
      <c r="E32" s="72">
        <f t="shared" si="12"/>
        <v>0</v>
      </c>
      <c r="F32" s="72">
        <f t="shared" si="12"/>
        <v>0</v>
      </c>
      <c r="G32" s="72">
        <f t="shared" si="12"/>
        <v>0</v>
      </c>
      <c r="H32" s="72">
        <f t="shared" si="12"/>
        <v>0</v>
      </c>
      <c r="I32" s="73">
        <f t="shared" si="12"/>
        <v>0</v>
      </c>
      <c r="J32" s="72">
        <f t="shared" si="12"/>
        <v>56055</v>
      </c>
      <c r="K32" s="72">
        <f t="shared" si="12"/>
        <v>56055</v>
      </c>
      <c r="L32" s="72">
        <f t="shared" si="12"/>
        <v>0</v>
      </c>
      <c r="M32" s="72">
        <f t="shared" si="12"/>
        <v>0</v>
      </c>
      <c r="N32" s="72">
        <f t="shared" si="12"/>
        <v>0</v>
      </c>
      <c r="O32" s="72">
        <f t="shared" si="12"/>
        <v>0</v>
      </c>
      <c r="P32" s="72">
        <f t="shared" si="12"/>
        <v>0</v>
      </c>
      <c r="Q32" s="73">
        <f t="shared" si="12"/>
        <v>0</v>
      </c>
      <c r="R32" s="72"/>
      <c r="S32" s="72">
        <f t="shared" ref="S32:Z32" si="13">SUM(S33:S37)</f>
        <v>59181</v>
      </c>
      <c r="T32" s="72">
        <f t="shared" si="13"/>
        <v>59181</v>
      </c>
      <c r="U32" s="72">
        <f t="shared" si="13"/>
        <v>0</v>
      </c>
      <c r="V32" s="72">
        <f t="shared" si="13"/>
        <v>0</v>
      </c>
      <c r="W32" s="72">
        <f t="shared" si="13"/>
        <v>0</v>
      </c>
      <c r="X32" s="72">
        <f t="shared" si="13"/>
        <v>0</v>
      </c>
      <c r="Y32" s="72">
        <f t="shared" si="13"/>
        <v>0</v>
      </c>
      <c r="Z32" s="73">
        <f t="shared" si="13"/>
        <v>0</v>
      </c>
      <c r="AA32" s="72"/>
    </row>
    <row r="33" spans="1:27" x14ac:dyDescent="0.3">
      <c r="A33" s="82" t="s">
        <v>287</v>
      </c>
      <c r="B33" s="75">
        <f>C33+D33</f>
        <v>41500</v>
      </c>
      <c r="C33" s="80">
        <v>41500</v>
      </c>
      <c r="D33" s="75">
        <f>SUM(E33:I33)</f>
        <v>0</v>
      </c>
      <c r="E33" s="76"/>
      <c r="F33" s="76"/>
      <c r="G33" s="76"/>
      <c r="H33" s="76"/>
      <c r="I33" s="77"/>
      <c r="J33" s="78">
        <f>ROUND(B33*R33,0)</f>
        <v>41915</v>
      </c>
      <c r="K33" s="80">
        <f>ROUND(C33/$B33*$J33,0)</f>
        <v>41915</v>
      </c>
      <c r="L33" s="75">
        <f>SUM(M33:Q33)</f>
        <v>0</v>
      </c>
      <c r="M33" s="76"/>
      <c r="N33" s="76"/>
      <c r="O33" s="76"/>
      <c r="P33" s="76"/>
      <c r="Q33" s="77"/>
      <c r="R33" s="69">
        <v>1.01</v>
      </c>
      <c r="S33" s="78">
        <f>SUM(T33)</f>
        <v>46000</v>
      </c>
      <c r="T33" s="80">
        <v>46000</v>
      </c>
      <c r="U33" s="75">
        <f>SUM(V33:Z33)</f>
        <v>0</v>
      </c>
      <c r="V33" s="76"/>
      <c r="W33" s="76"/>
      <c r="X33" s="76"/>
      <c r="Y33" s="76"/>
      <c r="Z33" s="77"/>
      <c r="AA33" s="69">
        <v>1</v>
      </c>
    </row>
    <row r="34" spans="1:27" x14ac:dyDescent="0.3">
      <c r="A34" s="82" t="s">
        <v>288</v>
      </c>
      <c r="B34" s="75">
        <f>C34+D34</f>
        <v>5000</v>
      </c>
      <c r="C34" s="80">
        <v>5000</v>
      </c>
      <c r="D34" s="75">
        <f>SUM(E34:I34)</f>
        <v>0</v>
      </c>
      <c r="E34" s="80"/>
      <c r="F34" s="76"/>
      <c r="G34" s="76"/>
      <c r="H34" s="76"/>
      <c r="I34" s="77"/>
      <c r="J34" s="78">
        <f>ROUND(B34*R34,0)</f>
        <v>5050</v>
      </c>
      <c r="K34" s="80">
        <f>ROUND(C34/$B34*$J34,0)</f>
        <v>5050</v>
      </c>
      <c r="L34" s="75">
        <f>SUM(M34:Q34)</f>
        <v>0</v>
      </c>
      <c r="M34" s="80"/>
      <c r="N34" s="76"/>
      <c r="O34" s="76"/>
      <c r="P34" s="76"/>
      <c r="Q34" s="77"/>
      <c r="R34" s="69">
        <v>1.01</v>
      </c>
      <c r="S34" s="78">
        <f>SUM(T34)</f>
        <v>4000</v>
      </c>
      <c r="T34" s="80">
        <v>4000</v>
      </c>
      <c r="U34" s="75">
        <f>SUM(V34:Z34)</f>
        <v>0</v>
      </c>
      <c r="V34" s="80"/>
      <c r="W34" s="76"/>
      <c r="X34" s="76"/>
      <c r="Y34" s="76"/>
      <c r="Z34" s="77"/>
      <c r="AA34" s="69">
        <v>1</v>
      </c>
    </row>
    <row r="35" spans="1:27" x14ac:dyDescent="0.3">
      <c r="A35" s="82" t="s">
        <v>289</v>
      </c>
      <c r="B35" s="75">
        <f>C35+D35</f>
        <v>3500</v>
      </c>
      <c r="C35" s="80">
        <v>3500</v>
      </c>
      <c r="D35" s="75">
        <f>SUM(E35:I35)</f>
        <v>0</v>
      </c>
      <c r="E35" s="76"/>
      <c r="F35" s="76"/>
      <c r="G35" s="76"/>
      <c r="H35" s="76"/>
      <c r="I35" s="77"/>
      <c r="J35" s="78">
        <f>ROUND(B35*R35,0)</f>
        <v>3535</v>
      </c>
      <c r="K35" s="80">
        <f>ROUND(C35/$B35*$J35,0)</f>
        <v>3535</v>
      </c>
      <c r="L35" s="75">
        <f>SUM(M35:Q35)</f>
        <v>0</v>
      </c>
      <c r="M35" s="76"/>
      <c r="N35" s="76"/>
      <c r="O35" s="76"/>
      <c r="P35" s="76"/>
      <c r="Q35" s="77"/>
      <c r="R35" s="69">
        <v>1.01</v>
      </c>
      <c r="S35" s="78">
        <f>ROUND(J35*AA35,0)</f>
        <v>3570</v>
      </c>
      <c r="T35" s="80">
        <f>ROUND(K35/$J35*$S35,0)</f>
        <v>3570</v>
      </c>
      <c r="U35" s="75">
        <f>SUM(V35:Z35)</f>
        <v>0</v>
      </c>
      <c r="V35" s="76"/>
      <c r="W35" s="76"/>
      <c r="X35" s="76"/>
      <c r="Y35" s="76"/>
      <c r="Z35" s="77"/>
      <c r="AA35" s="69">
        <v>1.01</v>
      </c>
    </row>
    <row r="36" spans="1:27" x14ac:dyDescent="0.3">
      <c r="A36" s="82" t="s">
        <v>290</v>
      </c>
      <c r="B36" s="75">
        <f>C36+D36</f>
        <v>5500</v>
      </c>
      <c r="C36" s="80">
        <v>5500</v>
      </c>
      <c r="D36" s="75">
        <f>SUM(E36:I36)</f>
        <v>0</v>
      </c>
      <c r="E36" s="80"/>
      <c r="F36" s="80"/>
      <c r="G36" s="80"/>
      <c r="H36" s="80"/>
      <c r="I36" s="81"/>
      <c r="J36" s="78">
        <f>ROUND(B36*R36,0)</f>
        <v>5555</v>
      </c>
      <c r="K36" s="80">
        <f>ROUND(C36/$B36*$J36,0)</f>
        <v>5555</v>
      </c>
      <c r="L36" s="75">
        <f>SUM(M36:Q36)</f>
        <v>0</v>
      </c>
      <c r="M36" s="80"/>
      <c r="N36" s="80"/>
      <c r="O36" s="80"/>
      <c r="P36" s="80"/>
      <c r="Q36" s="81"/>
      <c r="R36" s="69">
        <v>1.01</v>
      </c>
      <c r="S36" s="78">
        <f>ROUND(J36*AA36,0)</f>
        <v>5611</v>
      </c>
      <c r="T36" s="80">
        <f>ROUND(K36/$J36*$S36,0)</f>
        <v>5611</v>
      </c>
      <c r="U36" s="75">
        <f>SUM(V36:Z36)</f>
        <v>0</v>
      </c>
      <c r="V36" s="80"/>
      <c r="W36" s="80"/>
      <c r="X36" s="80"/>
      <c r="Y36" s="80"/>
      <c r="Z36" s="81"/>
      <c r="AA36" s="69">
        <v>1.01</v>
      </c>
    </row>
    <row r="37" spans="1:27" hidden="1" x14ac:dyDescent="0.3">
      <c r="A37" s="79" t="s">
        <v>291</v>
      </c>
      <c r="B37" s="75">
        <f>C37+D37</f>
        <v>0</v>
      </c>
      <c r="C37" s="80">
        <v>0</v>
      </c>
      <c r="D37" s="75">
        <f>SUM(E37:I37)</f>
        <v>0</v>
      </c>
      <c r="E37" s="76"/>
      <c r="F37" s="76"/>
      <c r="G37" s="76"/>
      <c r="H37" s="76"/>
      <c r="I37" s="77"/>
      <c r="J37" s="78">
        <f>ROUND(B37*R37,0)</f>
        <v>0</v>
      </c>
      <c r="K37" s="80">
        <v>0</v>
      </c>
      <c r="L37" s="75">
        <f>SUM(M37:Q37)</f>
        <v>0</v>
      </c>
      <c r="M37" s="76"/>
      <c r="N37" s="76"/>
      <c r="O37" s="76"/>
      <c r="P37" s="76"/>
      <c r="Q37" s="77"/>
      <c r="R37" s="69">
        <v>1.01</v>
      </c>
      <c r="S37" s="78">
        <f>ROUND(J37*AA37,0)</f>
        <v>0</v>
      </c>
      <c r="T37" s="80">
        <v>0</v>
      </c>
      <c r="U37" s="75">
        <f>SUM(V37:Z37)</f>
        <v>0</v>
      </c>
      <c r="V37" s="76"/>
      <c r="W37" s="76"/>
      <c r="X37" s="76"/>
      <c r="Y37" s="76"/>
      <c r="Z37" s="77"/>
      <c r="AA37" s="69">
        <v>1.01</v>
      </c>
    </row>
    <row r="38" spans="1:27" x14ac:dyDescent="0.3">
      <c r="A38" s="71" t="s">
        <v>96</v>
      </c>
      <c r="B38" s="72">
        <f t="shared" ref="B38:Q38" si="14">SUM(B39:B42)</f>
        <v>8100</v>
      </c>
      <c r="C38" s="72">
        <f t="shared" si="14"/>
        <v>3500</v>
      </c>
      <c r="D38" s="72">
        <f t="shared" si="14"/>
        <v>4600</v>
      </c>
      <c r="E38" s="72">
        <f t="shared" si="14"/>
        <v>700</v>
      </c>
      <c r="F38" s="72">
        <f t="shared" si="14"/>
        <v>1100</v>
      </c>
      <c r="G38" s="72">
        <f t="shared" si="14"/>
        <v>500</v>
      </c>
      <c r="H38" s="72">
        <f t="shared" si="14"/>
        <v>600</v>
      </c>
      <c r="I38" s="72">
        <f t="shared" si="14"/>
        <v>1700</v>
      </c>
      <c r="J38" s="72">
        <f t="shared" si="14"/>
        <v>8343</v>
      </c>
      <c r="K38" s="72">
        <f>SUM(K39:K42)</f>
        <v>3605</v>
      </c>
      <c r="L38" s="72">
        <f t="shared" si="14"/>
        <v>4738</v>
      </c>
      <c r="M38" s="72">
        <f t="shared" si="14"/>
        <v>721</v>
      </c>
      <c r="N38" s="72">
        <f t="shared" si="14"/>
        <v>1133</v>
      </c>
      <c r="O38" s="72">
        <f t="shared" si="14"/>
        <v>515</v>
      </c>
      <c r="P38" s="72">
        <f t="shared" si="14"/>
        <v>618</v>
      </c>
      <c r="Q38" s="72">
        <f t="shared" si="14"/>
        <v>1751</v>
      </c>
      <c r="R38" s="72"/>
      <c r="S38" s="72">
        <f>SUM(S39:S42)</f>
        <v>8594</v>
      </c>
      <c r="T38" s="72">
        <f>SUM(T39:T42)</f>
        <v>3714</v>
      </c>
      <c r="U38" s="72">
        <f t="shared" ref="U38:Z38" si="15">SUM(U39:U42)</f>
        <v>4880</v>
      </c>
      <c r="V38" s="72">
        <f t="shared" si="15"/>
        <v>743</v>
      </c>
      <c r="W38" s="72">
        <f t="shared" si="15"/>
        <v>1166</v>
      </c>
      <c r="X38" s="72">
        <f t="shared" si="15"/>
        <v>530</v>
      </c>
      <c r="Y38" s="72">
        <f t="shared" si="15"/>
        <v>637</v>
      </c>
      <c r="Z38" s="72">
        <f t="shared" si="15"/>
        <v>1804</v>
      </c>
      <c r="AA38" s="72"/>
    </row>
    <row r="39" spans="1:27" x14ac:dyDescent="0.3">
      <c r="A39" s="74" t="s">
        <v>292</v>
      </c>
      <c r="B39" s="75">
        <f>+C39+D39</f>
        <v>5300</v>
      </c>
      <c r="C39" s="80">
        <v>700</v>
      </c>
      <c r="D39" s="75">
        <f>SUM(E39:I39)</f>
        <v>4600</v>
      </c>
      <c r="E39" s="80">
        <v>700</v>
      </c>
      <c r="F39" s="80">
        <v>1100</v>
      </c>
      <c r="G39" s="80">
        <v>500</v>
      </c>
      <c r="H39" s="80">
        <v>600</v>
      </c>
      <c r="I39" s="81">
        <v>1700</v>
      </c>
      <c r="J39" s="78">
        <f>ROUND(B39*R39,0)</f>
        <v>5459</v>
      </c>
      <c r="K39" s="80">
        <f>ROUND(C39/$B39*$J39,0)</f>
        <v>721</v>
      </c>
      <c r="L39" s="75">
        <f>SUM(M39:Q39)</f>
        <v>4738</v>
      </c>
      <c r="M39" s="80">
        <f>ROUND(E39/$B39*$J39,0)</f>
        <v>721</v>
      </c>
      <c r="N39" s="80">
        <f>ROUND(F39/$B39*$J39,0)</f>
        <v>1133</v>
      </c>
      <c r="O39" s="80">
        <f>ROUND(G39/$B39*$J39,0)</f>
        <v>515</v>
      </c>
      <c r="P39" s="80">
        <f>ROUND(H39/$B39*$J39,0)</f>
        <v>618</v>
      </c>
      <c r="Q39" s="80">
        <f>ROUND(I39/$B39*$J39,0)</f>
        <v>1751</v>
      </c>
      <c r="R39" s="69">
        <v>1.03</v>
      </c>
      <c r="S39" s="78">
        <f>ROUND(J39*AA39,0)</f>
        <v>5623</v>
      </c>
      <c r="T39" s="80">
        <f>ROUND(K39/$J39*$S39,0)</f>
        <v>743</v>
      </c>
      <c r="U39" s="75">
        <f>SUM(V39:Z39)</f>
        <v>4880</v>
      </c>
      <c r="V39" s="80">
        <f>ROUND(M39/$J39*$S39,0)</f>
        <v>743</v>
      </c>
      <c r="W39" s="80">
        <f>ROUND(N39/$J39*$S39,0)-1</f>
        <v>1166</v>
      </c>
      <c r="X39" s="80">
        <f>ROUND(O39/$J39*$S39,0)</f>
        <v>530</v>
      </c>
      <c r="Y39" s="80">
        <f>ROUND(P39/$J39*$S39,0)</f>
        <v>637</v>
      </c>
      <c r="Z39" s="80">
        <f>ROUND(Q39/$J39*$S39,0)</f>
        <v>1804</v>
      </c>
      <c r="AA39" s="69">
        <v>1.03</v>
      </c>
    </row>
    <row r="40" spans="1:27" x14ac:dyDescent="0.3">
      <c r="A40" s="79" t="s">
        <v>293</v>
      </c>
      <c r="B40" s="75">
        <f>+C40+D40</f>
        <v>600</v>
      </c>
      <c r="C40" s="80">
        <v>600</v>
      </c>
      <c r="D40" s="75">
        <f>SUM(E40:I40)</f>
        <v>0</v>
      </c>
      <c r="E40" s="76"/>
      <c r="F40" s="76"/>
      <c r="G40" s="76"/>
      <c r="H40" s="76"/>
      <c r="I40" s="77"/>
      <c r="J40" s="78">
        <f>ROUND(B40*R40,0)</f>
        <v>618</v>
      </c>
      <c r="K40" s="80">
        <f>ROUND(C40/$B40*$J40,0)</f>
        <v>618</v>
      </c>
      <c r="L40" s="75">
        <f>SUM(M40:Q40)</f>
        <v>0</v>
      </c>
      <c r="M40" s="76"/>
      <c r="N40" s="76"/>
      <c r="O40" s="76"/>
      <c r="P40" s="76"/>
      <c r="Q40" s="77"/>
      <c r="R40" s="69">
        <v>1.03</v>
      </c>
      <c r="S40" s="78">
        <f>ROUND(J40*AA40,0)</f>
        <v>637</v>
      </c>
      <c r="T40" s="80">
        <f>ROUND(K40/$J40*$S40,0)</f>
        <v>637</v>
      </c>
      <c r="U40" s="75">
        <f>SUM(V40:Z40)</f>
        <v>0</v>
      </c>
      <c r="V40" s="76"/>
      <c r="W40" s="76"/>
      <c r="X40" s="76"/>
      <c r="Y40" s="76"/>
      <c r="Z40" s="77"/>
      <c r="AA40" s="69">
        <v>1.03</v>
      </c>
    </row>
    <row r="41" spans="1:27" x14ac:dyDescent="0.3">
      <c r="A41" s="79" t="s">
        <v>294</v>
      </c>
      <c r="B41" s="75">
        <f>+C41+D41</f>
        <v>1400</v>
      </c>
      <c r="C41" s="80">
        <v>1400</v>
      </c>
      <c r="D41" s="75">
        <f>SUM(E41:I41)</f>
        <v>0</v>
      </c>
      <c r="E41" s="76"/>
      <c r="F41" s="76"/>
      <c r="G41" s="76"/>
      <c r="H41" s="76"/>
      <c r="I41" s="77"/>
      <c r="J41" s="78">
        <f>ROUND(B41*R41,0)</f>
        <v>1442</v>
      </c>
      <c r="K41" s="80">
        <f>ROUND(C41/$B41*$J41,0)</f>
        <v>1442</v>
      </c>
      <c r="L41" s="75">
        <f>SUM(M41:Q41)</f>
        <v>0</v>
      </c>
      <c r="M41" s="76"/>
      <c r="N41" s="76"/>
      <c r="O41" s="76"/>
      <c r="P41" s="76"/>
      <c r="Q41" s="77"/>
      <c r="R41" s="69">
        <v>1.03</v>
      </c>
      <c r="S41" s="78">
        <f>ROUND(J41*AA41,0)</f>
        <v>1485</v>
      </c>
      <c r="T41" s="80">
        <f>ROUND(K41/$J41*$S41,0)</f>
        <v>1485</v>
      </c>
      <c r="U41" s="75">
        <f>SUM(V41:Z41)</f>
        <v>0</v>
      </c>
      <c r="V41" s="76"/>
      <c r="W41" s="76"/>
      <c r="X41" s="76"/>
      <c r="Y41" s="76"/>
      <c r="Z41" s="77"/>
      <c r="AA41" s="69">
        <v>1.03</v>
      </c>
    </row>
    <row r="42" spans="1:27" x14ac:dyDescent="0.3">
      <c r="A42" s="79" t="s">
        <v>295</v>
      </c>
      <c r="B42" s="75">
        <f>+C42+D42</f>
        <v>800</v>
      </c>
      <c r="C42" s="80">
        <v>800</v>
      </c>
      <c r="D42" s="75">
        <f>SUM(E42:I42)</f>
        <v>0</v>
      </c>
      <c r="E42" s="76"/>
      <c r="F42" s="76"/>
      <c r="G42" s="76"/>
      <c r="H42" s="76"/>
      <c r="I42" s="77"/>
      <c r="J42" s="78">
        <f>ROUND(B42*R42,0)</f>
        <v>824</v>
      </c>
      <c r="K42" s="80">
        <f>ROUND(C42/$B42*$J42,0)</f>
        <v>824</v>
      </c>
      <c r="L42" s="75">
        <f>SUM(M42:Q42)</f>
        <v>0</v>
      </c>
      <c r="M42" s="76"/>
      <c r="N42" s="76"/>
      <c r="O42" s="76"/>
      <c r="P42" s="76"/>
      <c r="Q42" s="77"/>
      <c r="R42" s="69">
        <v>1.03</v>
      </c>
      <c r="S42" s="78">
        <f>ROUND(J42*AA42,0)</f>
        <v>849</v>
      </c>
      <c r="T42" s="80">
        <f>ROUND(K42/$J42*$S42,0)</f>
        <v>849</v>
      </c>
      <c r="U42" s="75">
        <f>SUM(V42:Z42)</f>
        <v>0</v>
      </c>
      <c r="V42" s="76"/>
      <c r="W42" s="76"/>
      <c r="X42" s="76"/>
      <c r="Y42" s="76"/>
      <c r="Z42" s="77"/>
      <c r="AA42" s="69">
        <v>1.03</v>
      </c>
    </row>
    <row r="43" spans="1:27" x14ac:dyDescent="0.3">
      <c r="A43" s="71" t="s">
        <v>296</v>
      </c>
      <c r="B43" s="72">
        <f>SUM(B44:B58)</f>
        <v>470000</v>
      </c>
      <c r="C43" s="72">
        <f>SUM(C44:C58)</f>
        <v>182200</v>
      </c>
      <c r="D43" s="72">
        <f>SUM(D44:D57)</f>
        <v>287800</v>
      </c>
      <c r="E43" s="72">
        <f>SUM(E44:E56)</f>
        <v>79640</v>
      </c>
      <c r="F43" s="72">
        <f>SUM(F44:F56)</f>
        <v>48870</v>
      </c>
      <c r="G43" s="72">
        <f>SUM(G44:G56)</f>
        <v>48470</v>
      </c>
      <c r="H43" s="72">
        <f>SUM(H44:H56)</f>
        <v>42750</v>
      </c>
      <c r="I43" s="73">
        <f>SUM(I44:I56)</f>
        <v>68070</v>
      </c>
      <c r="J43" s="72">
        <f>SUM(J44:J58)</f>
        <v>493981</v>
      </c>
      <c r="K43" s="72">
        <f>SUM(K44:K58)</f>
        <v>175920</v>
      </c>
      <c r="L43" s="72">
        <f>SUM(L44:L57)</f>
        <v>318061</v>
      </c>
      <c r="M43" s="72">
        <f>SUM(M44:M56)</f>
        <v>89593</v>
      </c>
      <c r="N43" s="72">
        <f>SUM(N44:N56)</f>
        <v>54961</v>
      </c>
      <c r="O43" s="72">
        <f>SUM(O44:O56)</f>
        <v>54901</v>
      </c>
      <c r="P43" s="72">
        <f>SUM(P44:P56)</f>
        <v>48177</v>
      </c>
      <c r="Q43" s="73">
        <f>SUM(Q44:Q56)</f>
        <v>70429</v>
      </c>
      <c r="R43" s="72"/>
      <c r="S43" s="72">
        <f>SUM(S44:S58)</f>
        <v>564774</v>
      </c>
      <c r="T43" s="72">
        <f>SUM(T44:T58)</f>
        <v>181678</v>
      </c>
      <c r="U43" s="72">
        <f>SUM(U44:U57)</f>
        <v>383096</v>
      </c>
      <c r="V43" s="72">
        <f>SUM(V44:V56)</f>
        <v>111155</v>
      </c>
      <c r="W43" s="72">
        <f>SUM(W44:W56)</f>
        <v>62778</v>
      </c>
      <c r="X43" s="72">
        <f>SUM(X44:X56)</f>
        <v>67592</v>
      </c>
      <c r="Y43" s="72">
        <f>SUM(Y44:Y56)</f>
        <v>56459</v>
      </c>
      <c r="Z43" s="73">
        <f>SUM(Z44:Z56)</f>
        <v>85112</v>
      </c>
      <c r="AA43" s="72"/>
    </row>
    <row r="44" spans="1:27" x14ac:dyDescent="0.3">
      <c r="A44" s="83" t="s">
        <v>297</v>
      </c>
      <c r="B44" s="75">
        <f t="shared" ref="B44:B53" si="16">C44+D44</f>
        <v>80000</v>
      </c>
      <c r="C44" s="80">
        <v>80000</v>
      </c>
      <c r="D44" s="75">
        <f t="shared" ref="D44:D50" si="17">SUM(E44:I44)</f>
        <v>0</v>
      </c>
      <c r="E44" s="76"/>
      <c r="F44" s="76"/>
      <c r="G44" s="76"/>
      <c r="H44" s="76"/>
      <c r="I44" s="77"/>
      <c r="J44" s="78">
        <f t="shared" ref="J44:J54" si="18">ROUND(B44*R44,0)</f>
        <v>88000</v>
      </c>
      <c r="K44" s="80">
        <f t="shared" ref="K44:K49" si="19">ROUND(C44/$B44*$J44,0)</f>
        <v>88000</v>
      </c>
      <c r="L44" s="75">
        <f t="shared" ref="L44:L56" si="20">SUM(M44:Q44)</f>
        <v>0</v>
      </c>
      <c r="M44" s="76"/>
      <c r="N44" s="76"/>
      <c r="O44" s="76"/>
      <c r="P44" s="76"/>
      <c r="Q44" s="77"/>
      <c r="R44" s="69">
        <v>1.1000000000000001</v>
      </c>
      <c r="S44" s="78">
        <f>SUM(T44:U44)</f>
        <v>125794</v>
      </c>
      <c r="T44" s="80">
        <f>ROUND(J44/31.48*AA44*45,0)</f>
        <v>125794</v>
      </c>
      <c r="U44" s="75">
        <f t="shared" ref="U44:U56" si="21">SUM(V44:Z44)</f>
        <v>0</v>
      </c>
      <c r="V44" s="76"/>
      <c r="W44" s="76"/>
      <c r="X44" s="76"/>
      <c r="Y44" s="76"/>
      <c r="Z44" s="77"/>
      <c r="AA44" s="69">
        <v>1</v>
      </c>
    </row>
    <row r="45" spans="1:27" x14ac:dyDescent="0.3">
      <c r="A45" s="83" t="s">
        <v>113</v>
      </c>
      <c r="B45" s="75">
        <f t="shared" si="16"/>
        <v>7000</v>
      </c>
      <c r="C45" s="80">
        <v>7000</v>
      </c>
      <c r="D45" s="75">
        <f t="shared" si="17"/>
        <v>0</v>
      </c>
      <c r="E45" s="76"/>
      <c r="F45" s="76"/>
      <c r="G45" s="76"/>
      <c r="H45" s="76"/>
      <c r="I45" s="77"/>
      <c r="J45" s="78">
        <f t="shared" si="18"/>
        <v>7070</v>
      </c>
      <c r="K45" s="80">
        <f t="shared" si="19"/>
        <v>7070</v>
      </c>
      <c r="L45" s="75">
        <f t="shared" si="20"/>
        <v>0</v>
      </c>
      <c r="M45" s="76"/>
      <c r="N45" s="76"/>
      <c r="O45" s="76"/>
      <c r="P45" s="76"/>
      <c r="Q45" s="77"/>
      <c r="R45" s="69">
        <v>1.01</v>
      </c>
      <c r="S45" s="78">
        <f>SUM(T45:U45)</f>
        <v>10106</v>
      </c>
      <c r="T45" s="80">
        <f>ROUND(J45/31.48*AA45*45,0)</f>
        <v>10106</v>
      </c>
      <c r="U45" s="75">
        <f t="shared" si="21"/>
        <v>0</v>
      </c>
      <c r="V45" s="76"/>
      <c r="W45" s="76"/>
      <c r="X45" s="76"/>
      <c r="Y45" s="76"/>
      <c r="Z45" s="77"/>
      <c r="AA45" s="69">
        <v>1</v>
      </c>
    </row>
    <row r="46" spans="1:27" x14ac:dyDescent="0.3">
      <c r="A46" s="84" t="s">
        <v>107</v>
      </c>
      <c r="B46" s="75">
        <f>C46+D46</f>
        <v>192000</v>
      </c>
      <c r="C46" s="80">
        <v>0</v>
      </c>
      <c r="D46" s="75">
        <f t="shared" si="17"/>
        <v>192000</v>
      </c>
      <c r="E46" s="80">
        <v>60000</v>
      </c>
      <c r="F46" s="80">
        <v>28000</v>
      </c>
      <c r="G46" s="80">
        <v>35000</v>
      </c>
      <c r="H46" s="80">
        <v>26000</v>
      </c>
      <c r="I46" s="81">
        <v>43000</v>
      </c>
      <c r="J46" s="78">
        <f t="shared" si="18"/>
        <v>211200</v>
      </c>
      <c r="K46" s="80">
        <f t="shared" si="19"/>
        <v>0</v>
      </c>
      <c r="L46" s="75">
        <f t="shared" si="20"/>
        <v>211200</v>
      </c>
      <c r="M46" s="80">
        <f>ROUND(E46/$B46*$J46,0)</f>
        <v>66000</v>
      </c>
      <c r="N46" s="80">
        <f>ROUND(F46/$B46*$J46,0)</f>
        <v>30800</v>
      </c>
      <c r="O46" s="80">
        <f>ROUND(G46/$B46*$J46,0)</f>
        <v>38500</v>
      </c>
      <c r="P46" s="80">
        <f>ROUND(H46/$B46*$J46,0)</f>
        <v>28600</v>
      </c>
      <c r="Q46" s="80">
        <f>ROUND(I46/$B46*$J46,0)</f>
        <v>47300</v>
      </c>
      <c r="R46" s="69">
        <v>1.1000000000000001</v>
      </c>
      <c r="S46" s="78">
        <f>SUM(T46:U46)</f>
        <v>301906</v>
      </c>
      <c r="T46" s="80">
        <f>ROUND(K46/$B46*$J46,0)</f>
        <v>0</v>
      </c>
      <c r="U46" s="75">
        <f t="shared" si="21"/>
        <v>301906</v>
      </c>
      <c r="V46" s="80">
        <f>ROUND(M46/31.48*AA46*45,0)</f>
        <v>94346</v>
      </c>
      <c r="W46" s="80">
        <f>ROUND(N46/31.48*AA46*45,0)</f>
        <v>44028</v>
      </c>
      <c r="X46" s="80">
        <f>ROUND(O46/31.48*AA46*45,0)</f>
        <v>55035</v>
      </c>
      <c r="Y46" s="80">
        <f>ROUND(P46/31.48*AA46*45,0)</f>
        <v>40883</v>
      </c>
      <c r="Z46" s="80">
        <f>ROUND(Q46/31.48*AA46*45,0)</f>
        <v>67614</v>
      </c>
      <c r="AA46" s="69">
        <v>1</v>
      </c>
    </row>
    <row r="47" spans="1:27" x14ac:dyDescent="0.3">
      <c r="A47" s="79" t="s">
        <v>298</v>
      </c>
      <c r="B47" s="75">
        <f>C47+D47</f>
        <v>34150</v>
      </c>
      <c r="C47" s="80">
        <f>50000-15850</f>
        <v>34150</v>
      </c>
      <c r="D47" s="75">
        <f t="shared" si="17"/>
        <v>0</v>
      </c>
      <c r="E47" s="76"/>
      <c r="F47" s="76"/>
      <c r="G47" s="76"/>
      <c r="H47" s="76"/>
      <c r="I47" s="77"/>
      <c r="J47" s="78">
        <f t="shared" si="18"/>
        <v>34492</v>
      </c>
      <c r="K47" s="80">
        <f t="shared" si="19"/>
        <v>34492</v>
      </c>
      <c r="L47" s="75">
        <f t="shared" si="20"/>
        <v>0</v>
      </c>
      <c r="M47" s="76"/>
      <c r="N47" s="76"/>
      <c r="O47" s="76"/>
      <c r="P47" s="76"/>
      <c r="Q47" s="77"/>
      <c r="R47" s="69">
        <v>1.01</v>
      </c>
      <c r="S47" s="78">
        <v>30000</v>
      </c>
      <c r="T47" s="80">
        <f>ROUND(K47/$J47*$S47,0)</f>
        <v>30000</v>
      </c>
      <c r="U47" s="75">
        <f t="shared" si="21"/>
        <v>0</v>
      </c>
      <c r="V47" s="76"/>
      <c r="W47" s="76"/>
      <c r="X47" s="76"/>
      <c r="Y47" s="76"/>
      <c r="Z47" s="77"/>
      <c r="AA47" s="69">
        <v>1</v>
      </c>
    </row>
    <row r="48" spans="1:27" x14ac:dyDescent="0.3">
      <c r="A48" s="79" t="s">
        <v>122</v>
      </c>
      <c r="B48" s="75">
        <f>C48+D48</f>
        <v>6000</v>
      </c>
      <c r="C48" s="80">
        <v>6000</v>
      </c>
      <c r="D48" s="75">
        <f t="shared" si="17"/>
        <v>0</v>
      </c>
      <c r="E48" s="76"/>
      <c r="F48" s="76"/>
      <c r="G48" s="76"/>
      <c r="H48" s="76"/>
      <c r="I48" s="77"/>
      <c r="J48" s="78">
        <f t="shared" si="18"/>
        <v>6060</v>
      </c>
      <c r="K48" s="80">
        <f t="shared" si="19"/>
        <v>6060</v>
      </c>
      <c r="L48" s="75">
        <f t="shared" si="20"/>
        <v>0</v>
      </c>
      <c r="M48" s="76"/>
      <c r="N48" s="76"/>
      <c r="O48" s="76"/>
      <c r="P48" s="76"/>
      <c r="Q48" s="77"/>
      <c r="R48" s="69">
        <v>1.01</v>
      </c>
      <c r="S48" s="78">
        <v>5000</v>
      </c>
      <c r="T48" s="80">
        <f>ROUND(K48/$J48*$S48,0)</f>
        <v>5000</v>
      </c>
      <c r="U48" s="75">
        <f t="shared" si="21"/>
        <v>0</v>
      </c>
      <c r="V48" s="76"/>
      <c r="W48" s="76"/>
      <c r="X48" s="76"/>
      <c r="Y48" s="76"/>
      <c r="Z48" s="77"/>
      <c r="AA48" s="69">
        <v>1</v>
      </c>
    </row>
    <row r="49" spans="1:27" x14ac:dyDescent="0.3">
      <c r="A49" s="74" t="s">
        <v>117</v>
      </c>
      <c r="B49" s="75">
        <f t="shared" si="16"/>
        <v>48000</v>
      </c>
      <c r="C49" s="80">
        <v>0</v>
      </c>
      <c r="D49" s="75">
        <f t="shared" si="17"/>
        <v>48000</v>
      </c>
      <c r="E49" s="80">
        <v>7490</v>
      </c>
      <c r="F49" s="80">
        <v>12770</v>
      </c>
      <c r="G49" s="80">
        <v>6600</v>
      </c>
      <c r="H49" s="80">
        <v>10570</v>
      </c>
      <c r="I49" s="81">
        <v>10570</v>
      </c>
      <c r="J49" s="78">
        <f t="shared" si="18"/>
        <v>48480</v>
      </c>
      <c r="K49" s="80">
        <f t="shared" si="19"/>
        <v>0</v>
      </c>
      <c r="L49" s="75">
        <f t="shared" si="20"/>
        <v>48480</v>
      </c>
      <c r="M49" s="80">
        <f t="shared" ref="M49:N51" si="22">ROUND(E49/$B49*$J49,0)</f>
        <v>7565</v>
      </c>
      <c r="N49" s="80">
        <f t="shared" si="22"/>
        <v>12898</v>
      </c>
      <c r="O49" s="80">
        <f>ROUND(G49/$B49*$J49,0)-1</f>
        <v>6665</v>
      </c>
      <c r="P49" s="80">
        <f t="shared" ref="P49:Q51" si="23">ROUND(H49/$B49*$J49,0)</f>
        <v>10676</v>
      </c>
      <c r="Q49" s="80">
        <f t="shared" si="23"/>
        <v>10676</v>
      </c>
      <c r="R49" s="69">
        <v>1.01</v>
      </c>
      <c r="S49" s="78">
        <v>42000</v>
      </c>
      <c r="T49" s="80">
        <f>ROUND(K49/$B49*$J49,0)</f>
        <v>0</v>
      </c>
      <c r="U49" s="75">
        <f t="shared" si="21"/>
        <v>42000</v>
      </c>
      <c r="V49" s="80">
        <f>ROUND(M49/$J49*$S49,0)+1</f>
        <v>6555</v>
      </c>
      <c r="W49" s="80">
        <f>ROUND(N49/$J49*$S49,0)-1</f>
        <v>11173</v>
      </c>
      <c r="X49" s="80">
        <f t="shared" ref="X49:Z51" si="24">ROUND(O49/$J49*$S49,0)</f>
        <v>5774</v>
      </c>
      <c r="Y49" s="80">
        <f t="shared" si="24"/>
        <v>9249</v>
      </c>
      <c r="Z49" s="80">
        <f t="shared" si="24"/>
        <v>9249</v>
      </c>
      <c r="AA49" s="69">
        <v>1</v>
      </c>
    </row>
    <row r="50" spans="1:27" x14ac:dyDescent="0.3">
      <c r="A50" s="85" t="s">
        <v>124</v>
      </c>
      <c r="B50" s="75">
        <f>C50+D50</f>
        <v>10000</v>
      </c>
      <c r="C50" s="80">
        <v>2750</v>
      </c>
      <c r="D50" s="75">
        <f t="shared" si="17"/>
        <v>7250</v>
      </c>
      <c r="E50" s="80">
        <v>1450</v>
      </c>
      <c r="F50" s="80">
        <v>1450</v>
      </c>
      <c r="G50" s="80">
        <v>1450</v>
      </c>
      <c r="H50" s="80">
        <v>1450</v>
      </c>
      <c r="I50" s="81">
        <v>1450</v>
      </c>
      <c r="J50" s="78">
        <f t="shared" si="18"/>
        <v>10100</v>
      </c>
      <c r="K50" s="80">
        <f>ROUND(C50/$B50*$J50,0)-3</f>
        <v>2775</v>
      </c>
      <c r="L50" s="75">
        <f t="shared" si="20"/>
        <v>7325</v>
      </c>
      <c r="M50" s="80">
        <f t="shared" si="22"/>
        <v>1465</v>
      </c>
      <c r="N50" s="80">
        <f t="shared" si="22"/>
        <v>1465</v>
      </c>
      <c r="O50" s="80">
        <f>ROUND(G50/$B50*$J50,0)</f>
        <v>1465</v>
      </c>
      <c r="P50" s="80">
        <f t="shared" si="23"/>
        <v>1465</v>
      </c>
      <c r="Q50" s="80">
        <f t="shared" si="23"/>
        <v>1465</v>
      </c>
      <c r="R50" s="69">
        <v>1.01</v>
      </c>
      <c r="S50" s="78">
        <f>ROUND(J50*AA50,0)</f>
        <v>12120</v>
      </c>
      <c r="T50" s="80">
        <f>ROUND(K50/$J50*$S50,0)</f>
        <v>3330</v>
      </c>
      <c r="U50" s="75">
        <f t="shared" si="21"/>
        <v>8790</v>
      </c>
      <c r="V50" s="80">
        <f>ROUND(M50/$J50*$S50,0)</f>
        <v>1758</v>
      </c>
      <c r="W50" s="80">
        <f>ROUND(N50/$J50*$S50,0)</f>
        <v>1758</v>
      </c>
      <c r="X50" s="80">
        <f t="shared" si="24"/>
        <v>1758</v>
      </c>
      <c r="Y50" s="80">
        <f t="shared" si="24"/>
        <v>1758</v>
      </c>
      <c r="Z50" s="80">
        <f t="shared" si="24"/>
        <v>1758</v>
      </c>
      <c r="AA50" s="69">
        <v>1.2</v>
      </c>
    </row>
    <row r="51" spans="1:27" x14ac:dyDescent="0.3">
      <c r="A51" s="86" t="s">
        <v>299</v>
      </c>
      <c r="B51" s="75">
        <f t="shared" si="16"/>
        <v>12000</v>
      </c>
      <c r="C51" s="80">
        <v>2000</v>
      </c>
      <c r="D51" s="75">
        <f t="shared" ref="D51:D56" si="25">SUM(E51:I51)</f>
        <v>10000</v>
      </c>
      <c r="E51" s="80">
        <v>2000</v>
      </c>
      <c r="F51" s="80">
        <v>2000</v>
      </c>
      <c r="G51" s="80">
        <v>2000</v>
      </c>
      <c r="H51" s="80">
        <v>2000</v>
      </c>
      <c r="I51" s="81">
        <v>2000</v>
      </c>
      <c r="J51" s="78">
        <f t="shared" si="18"/>
        <v>12120</v>
      </c>
      <c r="K51" s="80">
        <f>ROUND(C51/$B51*$J51,0)</f>
        <v>2020</v>
      </c>
      <c r="L51" s="75">
        <f t="shared" si="20"/>
        <v>10100</v>
      </c>
      <c r="M51" s="80">
        <f t="shared" si="22"/>
        <v>2020</v>
      </c>
      <c r="N51" s="80">
        <f t="shared" si="22"/>
        <v>2020</v>
      </c>
      <c r="O51" s="80">
        <f>ROUND(G51/$B51*$J51,0)</f>
        <v>2020</v>
      </c>
      <c r="P51" s="80">
        <f t="shared" si="23"/>
        <v>2020</v>
      </c>
      <c r="Q51" s="80">
        <f t="shared" si="23"/>
        <v>2020</v>
      </c>
      <c r="R51" s="69">
        <v>1.01</v>
      </c>
      <c r="S51" s="78">
        <f>ROUND(J51*AA51,0)</f>
        <v>12241</v>
      </c>
      <c r="T51" s="80">
        <f>ROUND(K51/$J51*$S51,0)+1</f>
        <v>2041</v>
      </c>
      <c r="U51" s="75">
        <f t="shared" si="21"/>
        <v>10200</v>
      </c>
      <c r="V51" s="80">
        <f>ROUND(M51/$J51*$S51,0)</f>
        <v>2040</v>
      </c>
      <c r="W51" s="80">
        <f>ROUND(N51/$J51*$S51,0)</f>
        <v>2040</v>
      </c>
      <c r="X51" s="80">
        <f t="shared" si="24"/>
        <v>2040</v>
      </c>
      <c r="Y51" s="80">
        <f t="shared" si="24"/>
        <v>2040</v>
      </c>
      <c r="Z51" s="80">
        <f t="shared" si="24"/>
        <v>2040</v>
      </c>
      <c r="AA51" s="69">
        <v>1.01</v>
      </c>
    </row>
    <row r="52" spans="1:27" x14ac:dyDescent="0.3">
      <c r="A52" s="85" t="s">
        <v>300</v>
      </c>
      <c r="B52" s="75">
        <f t="shared" si="16"/>
        <v>800</v>
      </c>
      <c r="C52" s="80">
        <v>800</v>
      </c>
      <c r="D52" s="75">
        <f t="shared" si="25"/>
        <v>0</v>
      </c>
      <c r="E52" s="76"/>
      <c r="F52" s="76"/>
      <c r="G52" s="76"/>
      <c r="H52" s="76"/>
      <c r="I52" s="77"/>
      <c r="J52" s="78">
        <f t="shared" si="18"/>
        <v>808</v>
      </c>
      <c r="K52" s="80">
        <f>ROUND(C52/$B52*$J52,0)</f>
        <v>808</v>
      </c>
      <c r="L52" s="75">
        <f t="shared" si="20"/>
        <v>0</v>
      </c>
      <c r="M52" s="76"/>
      <c r="N52" s="76"/>
      <c r="O52" s="76"/>
      <c r="P52" s="76"/>
      <c r="Q52" s="77"/>
      <c r="R52" s="69">
        <v>1.01</v>
      </c>
      <c r="S52" s="78">
        <f>ROUND(J52*AA52,0)</f>
        <v>816</v>
      </c>
      <c r="T52" s="80">
        <f>ROUND(K52/$J52*$S52,0)</f>
        <v>816</v>
      </c>
      <c r="U52" s="75">
        <f t="shared" si="21"/>
        <v>0</v>
      </c>
      <c r="V52" s="76"/>
      <c r="W52" s="76"/>
      <c r="X52" s="76"/>
      <c r="Y52" s="76"/>
      <c r="Z52" s="77"/>
      <c r="AA52" s="69">
        <v>1.01</v>
      </c>
    </row>
    <row r="53" spans="1:27" x14ac:dyDescent="0.3">
      <c r="A53" s="85" t="s">
        <v>301</v>
      </c>
      <c r="B53" s="75">
        <f t="shared" si="16"/>
        <v>2500</v>
      </c>
      <c r="C53" s="80">
        <v>2500</v>
      </c>
      <c r="D53" s="75">
        <f t="shared" si="25"/>
        <v>0</v>
      </c>
      <c r="E53" s="76"/>
      <c r="F53" s="76"/>
      <c r="G53" s="76"/>
      <c r="H53" s="76"/>
      <c r="I53" s="77"/>
      <c r="J53" s="78">
        <f t="shared" si="18"/>
        <v>2525</v>
      </c>
      <c r="K53" s="80">
        <f>ROUND(C53/$B53*$J53,0)</f>
        <v>2525</v>
      </c>
      <c r="L53" s="75">
        <f t="shared" si="20"/>
        <v>0</v>
      </c>
      <c r="M53" s="76"/>
      <c r="N53" s="76"/>
      <c r="O53" s="76"/>
      <c r="P53" s="76"/>
      <c r="Q53" s="77"/>
      <c r="R53" s="69">
        <v>1.01</v>
      </c>
      <c r="S53" s="78">
        <f>ROUND(J53*AA53,0)</f>
        <v>2550</v>
      </c>
      <c r="T53" s="80">
        <f>ROUND(K53/$J53*$S53,0)</f>
        <v>2550</v>
      </c>
      <c r="U53" s="75">
        <f t="shared" si="21"/>
        <v>0</v>
      </c>
      <c r="V53" s="76"/>
      <c r="W53" s="76"/>
      <c r="X53" s="76"/>
      <c r="Y53" s="76"/>
      <c r="Z53" s="77"/>
      <c r="AA53" s="69">
        <v>1.01</v>
      </c>
    </row>
    <row r="54" spans="1:27" x14ac:dyDescent="0.3">
      <c r="A54" s="85" t="s">
        <v>302</v>
      </c>
      <c r="B54" s="75">
        <f>C54+D54</f>
        <v>30000</v>
      </c>
      <c r="C54" s="80">
        <v>30000</v>
      </c>
      <c r="D54" s="75">
        <f>SUM(E54:I54)</f>
        <v>0</v>
      </c>
      <c r="E54" s="76"/>
      <c r="F54" s="76"/>
      <c r="G54" s="76"/>
      <c r="H54" s="76"/>
      <c r="I54" s="77"/>
      <c r="J54" s="78">
        <f t="shared" si="18"/>
        <v>15000</v>
      </c>
      <c r="K54" s="80">
        <f>ROUND(C54/$B54*$J54,0)</f>
        <v>15000</v>
      </c>
      <c r="L54" s="75">
        <f t="shared" si="20"/>
        <v>0</v>
      </c>
      <c r="M54" s="76"/>
      <c r="N54" s="76"/>
      <c r="O54" s="76"/>
      <c r="P54" s="76"/>
      <c r="Q54" s="77"/>
      <c r="R54" s="69">
        <v>0.5</v>
      </c>
      <c r="S54" s="78">
        <v>0</v>
      </c>
      <c r="T54" s="80">
        <f>ROUND(K54/$J54*$S54,0)</f>
        <v>0</v>
      </c>
      <c r="U54" s="75">
        <f t="shared" si="21"/>
        <v>0</v>
      </c>
      <c r="V54" s="76"/>
      <c r="W54" s="76"/>
      <c r="X54" s="76"/>
      <c r="Y54" s="76"/>
      <c r="Z54" s="77"/>
      <c r="AA54" s="69">
        <v>1</v>
      </c>
    </row>
    <row r="55" spans="1:27" s="64" customFormat="1" x14ac:dyDescent="0.25">
      <c r="A55" s="87" t="s">
        <v>303</v>
      </c>
      <c r="B55" s="88">
        <f>(C55+D55)-10000</f>
        <v>20550</v>
      </c>
      <c r="C55" s="89">
        <v>0</v>
      </c>
      <c r="D55" s="88">
        <f>SUM(E55:I55)</f>
        <v>30550</v>
      </c>
      <c r="E55" s="89">
        <v>8700</v>
      </c>
      <c r="F55" s="89">
        <v>4650</v>
      </c>
      <c r="G55" s="89">
        <v>3420</v>
      </c>
      <c r="H55" s="89">
        <v>2730</v>
      </c>
      <c r="I55" s="90">
        <v>11050</v>
      </c>
      <c r="J55" s="91">
        <v>30856</v>
      </c>
      <c r="K55" s="89">
        <f>ROUND(C55/$B55*$J55,0)</f>
        <v>0</v>
      </c>
      <c r="L55" s="88">
        <f t="shared" si="20"/>
        <v>30856</v>
      </c>
      <c r="M55" s="89">
        <f>2500+M157</f>
        <v>10523</v>
      </c>
      <c r="N55" s="89">
        <f>2500+M159</f>
        <v>5758</v>
      </c>
      <c r="O55" s="89">
        <f>2500+M158</f>
        <v>4231</v>
      </c>
      <c r="P55" s="89">
        <f>2500+M160</f>
        <v>3396</v>
      </c>
      <c r="Q55" s="90">
        <f>2500+M161</f>
        <v>6948</v>
      </c>
      <c r="R55" s="92">
        <v>1.01</v>
      </c>
      <c r="S55" s="91">
        <f>SUM(T55:U55)</f>
        <v>10000</v>
      </c>
      <c r="T55" s="89">
        <v>0</v>
      </c>
      <c r="U55" s="88">
        <f t="shared" si="21"/>
        <v>10000</v>
      </c>
      <c r="V55" s="89">
        <f>V157</f>
        <v>4416</v>
      </c>
      <c r="W55" s="89">
        <f>V159</f>
        <v>1739</v>
      </c>
      <c r="X55" s="89">
        <f>V158</f>
        <v>945</v>
      </c>
      <c r="Y55" s="89">
        <f>V160</f>
        <v>489</v>
      </c>
      <c r="Z55" s="90">
        <f>V161</f>
        <v>2411</v>
      </c>
      <c r="AA55" s="92">
        <v>1</v>
      </c>
    </row>
    <row r="56" spans="1:27" x14ac:dyDescent="0.3">
      <c r="A56" s="82" t="s">
        <v>304</v>
      </c>
      <c r="B56" s="75">
        <f>(C56+D56)+10000</f>
        <v>12000</v>
      </c>
      <c r="C56" s="80">
        <v>2000</v>
      </c>
      <c r="D56" s="75">
        <f t="shared" si="25"/>
        <v>0</v>
      </c>
      <c r="E56" s="76"/>
      <c r="F56" s="76"/>
      <c r="G56" s="76"/>
      <c r="H56" s="76"/>
      <c r="I56" s="77"/>
      <c r="J56" s="78">
        <f>ROUND(B56*R56,0)</f>
        <v>12120</v>
      </c>
      <c r="K56" s="80">
        <v>2020</v>
      </c>
      <c r="L56" s="75">
        <f t="shared" si="20"/>
        <v>10100</v>
      </c>
      <c r="M56" s="80">
        <v>2020</v>
      </c>
      <c r="N56" s="80">
        <v>2020</v>
      </c>
      <c r="O56" s="80">
        <v>2020</v>
      </c>
      <c r="P56" s="80">
        <v>2020</v>
      </c>
      <c r="Q56" s="81">
        <v>2020</v>
      </c>
      <c r="R56" s="69">
        <v>1.01</v>
      </c>
      <c r="S56" s="78">
        <f>ROUND(J56*AA56,0)</f>
        <v>12241</v>
      </c>
      <c r="T56" s="80">
        <f>ROUND(K56/$J56*$S56,0)+1</f>
        <v>2041</v>
      </c>
      <c r="U56" s="75">
        <f t="shared" si="21"/>
        <v>10200</v>
      </c>
      <c r="V56" s="80">
        <f>ROUND(M56/$J56*$S56,0)</f>
        <v>2040</v>
      </c>
      <c r="W56" s="80">
        <f>ROUND(N56/$J56*$S56,0)</f>
        <v>2040</v>
      </c>
      <c r="X56" s="80">
        <f>ROUND(O56/$J56*$S56,0)</f>
        <v>2040</v>
      </c>
      <c r="Y56" s="80">
        <f>ROUND(P56/$J56*$S56,0)</f>
        <v>2040</v>
      </c>
      <c r="Z56" s="80">
        <f>ROUND(Q56/$J56*$S56,0)</f>
        <v>2040</v>
      </c>
      <c r="AA56" s="69">
        <v>1.01</v>
      </c>
    </row>
    <row r="57" spans="1:27" hidden="1" x14ac:dyDescent="0.3">
      <c r="A57" s="82" t="s">
        <v>305</v>
      </c>
      <c r="B57" s="75"/>
      <c r="C57" s="80"/>
      <c r="D57" s="75"/>
      <c r="E57" s="80"/>
      <c r="F57" s="80"/>
      <c r="G57" s="80"/>
      <c r="H57" s="80"/>
      <c r="I57" s="81"/>
      <c r="J57" s="78">
        <f>ROUND(B57*R57,0)</f>
        <v>0</v>
      </c>
      <c r="K57" s="80"/>
      <c r="L57" s="75">
        <v>0</v>
      </c>
      <c r="M57" s="80"/>
      <c r="N57" s="80"/>
      <c r="O57" s="80"/>
      <c r="P57" s="80"/>
      <c r="Q57" s="81"/>
      <c r="R57" s="69">
        <v>1.01</v>
      </c>
      <c r="S57" s="78">
        <f>ROUND(J57*AA57,0)</f>
        <v>0</v>
      </c>
      <c r="T57" s="80"/>
      <c r="U57" s="75">
        <v>0</v>
      </c>
      <c r="V57" s="80"/>
      <c r="W57" s="80"/>
      <c r="X57" s="80"/>
      <c r="Y57" s="80"/>
      <c r="Z57" s="81"/>
      <c r="AA57" s="69">
        <v>1.01</v>
      </c>
    </row>
    <row r="58" spans="1:27" x14ac:dyDescent="0.3">
      <c r="A58" s="82" t="s">
        <v>306</v>
      </c>
      <c r="B58" s="75">
        <v>15000</v>
      </c>
      <c r="C58" s="93">
        <v>15000</v>
      </c>
      <c r="D58" s="75"/>
      <c r="E58" s="76"/>
      <c r="F58" s="76"/>
      <c r="G58" s="76"/>
      <c r="H58" s="76"/>
      <c r="I58" s="77"/>
      <c r="J58" s="78">
        <f>ROUND(B58*R58,0)</f>
        <v>15150</v>
      </c>
      <c r="K58" s="80">
        <f>ROUND(C58/$B58*$J58,0)</f>
        <v>15150</v>
      </c>
      <c r="L58" s="75">
        <v>0</v>
      </c>
      <c r="M58" s="76"/>
      <c r="N58" s="76"/>
      <c r="O58" s="76"/>
      <c r="P58" s="76"/>
      <c r="Q58" s="77"/>
      <c r="R58" s="69">
        <v>1.01</v>
      </c>
      <c r="S58" s="78">
        <v>0</v>
      </c>
      <c r="T58" s="80">
        <v>0</v>
      </c>
      <c r="U58" s="75">
        <v>0</v>
      </c>
      <c r="V58" s="76"/>
      <c r="W58" s="76"/>
      <c r="X58" s="76"/>
      <c r="Y58" s="76"/>
      <c r="Z58" s="77"/>
      <c r="AA58" s="69">
        <v>1</v>
      </c>
    </row>
    <row r="59" spans="1:27" x14ac:dyDescent="0.3">
      <c r="A59" s="71" t="s">
        <v>141</v>
      </c>
      <c r="B59" s="72">
        <f>SUM(B60:B68)</f>
        <v>181500</v>
      </c>
      <c r="C59" s="72">
        <f>SUM(C60:C68)</f>
        <v>181500</v>
      </c>
      <c r="D59" s="72">
        <f t="shared" ref="D59:I59" si="26">SUM(D60:D67)</f>
        <v>0</v>
      </c>
      <c r="E59" s="72">
        <f t="shared" si="26"/>
        <v>0</v>
      </c>
      <c r="F59" s="72">
        <f t="shared" si="26"/>
        <v>0</v>
      </c>
      <c r="G59" s="72">
        <f t="shared" si="26"/>
        <v>0</v>
      </c>
      <c r="H59" s="72">
        <f t="shared" si="26"/>
        <v>0</v>
      </c>
      <c r="I59" s="73">
        <f t="shared" si="26"/>
        <v>0</v>
      </c>
      <c r="J59" s="72">
        <f>SUM(J60:J68)</f>
        <v>183315</v>
      </c>
      <c r="K59" s="72">
        <f>SUM(K60:K68)</f>
        <v>183315</v>
      </c>
      <c r="L59" s="72">
        <f t="shared" ref="L59:Q59" si="27">SUM(L60:L67)</f>
        <v>0</v>
      </c>
      <c r="M59" s="72">
        <f t="shared" si="27"/>
        <v>0</v>
      </c>
      <c r="N59" s="72">
        <f t="shared" si="27"/>
        <v>0</v>
      </c>
      <c r="O59" s="72">
        <f t="shared" si="27"/>
        <v>0</v>
      </c>
      <c r="P59" s="72">
        <f t="shared" si="27"/>
        <v>0</v>
      </c>
      <c r="Q59" s="73">
        <f t="shared" si="27"/>
        <v>0</v>
      </c>
      <c r="R59" s="72"/>
      <c r="S59" s="72">
        <f>SUM(S60:S68)</f>
        <v>178700</v>
      </c>
      <c r="T59" s="72">
        <f>SUM(T60:T68)</f>
        <v>178700</v>
      </c>
      <c r="U59" s="72">
        <f t="shared" ref="U59:Z59" si="28">SUM(U60:U67)</f>
        <v>0</v>
      </c>
      <c r="V59" s="72">
        <f t="shared" si="28"/>
        <v>0</v>
      </c>
      <c r="W59" s="72">
        <f t="shared" si="28"/>
        <v>0</v>
      </c>
      <c r="X59" s="72">
        <f t="shared" si="28"/>
        <v>0</v>
      </c>
      <c r="Y59" s="72">
        <f t="shared" si="28"/>
        <v>0</v>
      </c>
      <c r="Z59" s="73">
        <f t="shared" si="28"/>
        <v>0</v>
      </c>
      <c r="AA59" s="72"/>
    </row>
    <row r="60" spans="1:27" x14ac:dyDescent="0.3">
      <c r="A60" s="79" t="s">
        <v>307</v>
      </c>
      <c r="B60" s="75">
        <f>C60+D60</f>
        <v>40000</v>
      </c>
      <c r="C60" s="80">
        <v>40000</v>
      </c>
      <c r="D60" s="75">
        <f t="shared" ref="D60:D68" si="29">SUM(E60:I60)</f>
        <v>0</v>
      </c>
      <c r="E60" s="76"/>
      <c r="F60" s="76"/>
      <c r="G60" s="76"/>
      <c r="H60" s="76"/>
      <c r="I60" s="77"/>
      <c r="J60" s="78">
        <f t="shared" ref="J60:J68" si="30">ROUND(B60*R60,0)</f>
        <v>40400</v>
      </c>
      <c r="K60" s="80">
        <f>ROUND(C60/$B60*$J60,0)</f>
        <v>40400</v>
      </c>
      <c r="L60" s="75">
        <f t="shared" ref="L60:L68" si="31">SUM(M60:Q60)</f>
        <v>0</v>
      </c>
      <c r="M60" s="76"/>
      <c r="N60" s="76"/>
      <c r="O60" s="76"/>
      <c r="P60" s="76"/>
      <c r="Q60" s="77"/>
      <c r="R60" s="69">
        <v>1.01</v>
      </c>
      <c r="S60" s="78">
        <f>ROUND(J60*AA60/100,0)*100</f>
        <v>40800</v>
      </c>
      <c r="T60" s="80">
        <f>ROUND(K60/$J60*$S60/100,0)*100</f>
        <v>40800</v>
      </c>
      <c r="U60" s="75">
        <f t="shared" ref="U60:U68" si="32">SUM(V60:Z60)</f>
        <v>0</v>
      </c>
      <c r="V60" s="76"/>
      <c r="W60" s="76"/>
      <c r="X60" s="76"/>
      <c r="Y60" s="76"/>
      <c r="Z60" s="77"/>
      <c r="AA60" s="69">
        <v>1.01</v>
      </c>
    </row>
    <row r="61" spans="1:27" x14ac:dyDescent="0.3">
      <c r="A61" s="94" t="s">
        <v>308</v>
      </c>
      <c r="B61" s="75">
        <f t="shared" ref="B61:B68" si="33">C61+D61</f>
        <v>10000</v>
      </c>
      <c r="C61" s="80">
        <v>10000</v>
      </c>
      <c r="D61" s="75">
        <f t="shared" si="29"/>
        <v>0</v>
      </c>
      <c r="E61" s="76"/>
      <c r="F61" s="76"/>
      <c r="G61" s="76"/>
      <c r="H61" s="76"/>
      <c r="I61" s="77"/>
      <c r="J61" s="78">
        <f t="shared" si="30"/>
        <v>10100</v>
      </c>
      <c r="K61" s="80">
        <f>ROUND(C61/$B61*$J61,0)</f>
        <v>10100</v>
      </c>
      <c r="L61" s="75">
        <f t="shared" si="31"/>
        <v>0</v>
      </c>
      <c r="M61" s="76"/>
      <c r="N61" s="76"/>
      <c r="O61" s="76"/>
      <c r="P61" s="76"/>
      <c r="Q61" s="77"/>
      <c r="R61" s="69">
        <v>1.01</v>
      </c>
      <c r="S61" s="78">
        <f>ROUND(J61*AA61/100,0)*100</f>
        <v>10200</v>
      </c>
      <c r="T61" s="80">
        <f t="shared" ref="T61:T68" si="34">ROUND(K61/$J61*$S61/100,0)*100</f>
        <v>10200</v>
      </c>
      <c r="U61" s="75">
        <f t="shared" si="32"/>
        <v>0</v>
      </c>
      <c r="V61" s="76"/>
      <c r="W61" s="76"/>
      <c r="X61" s="76"/>
      <c r="Y61" s="76"/>
      <c r="Z61" s="77"/>
      <c r="AA61" s="69">
        <v>1.01</v>
      </c>
    </row>
    <row r="62" spans="1:27" x14ac:dyDescent="0.3">
      <c r="A62" s="79" t="s">
        <v>309</v>
      </c>
      <c r="B62" s="75">
        <f>C62+D62</f>
        <v>0</v>
      </c>
      <c r="C62" s="80">
        <v>0</v>
      </c>
      <c r="D62" s="75">
        <f>SUM(E62:I62)</f>
        <v>0</v>
      </c>
      <c r="E62" s="76"/>
      <c r="F62" s="76"/>
      <c r="G62" s="76"/>
      <c r="H62" s="76"/>
      <c r="I62" s="77"/>
      <c r="J62" s="78">
        <f t="shared" si="30"/>
        <v>0</v>
      </c>
      <c r="K62" s="80">
        <f>ROUND(C62/$B$6*$J$6,0)</f>
        <v>0</v>
      </c>
      <c r="L62" s="75">
        <f>SUM(M62:Q62)</f>
        <v>0</v>
      </c>
      <c r="M62" s="76"/>
      <c r="N62" s="76"/>
      <c r="O62" s="76"/>
      <c r="P62" s="76"/>
      <c r="Q62" s="77"/>
      <c r="R62" s="69">
        <v>1.01</v>
      </c>
      <c r="S62" s="78">
        <f>ROUND(J62*AA62,0)</f>
        <v>0</v>
      </c>
      <c r="T62" s="80">
        <v>0</v>
      </c>
      <c r="U62" s="75">
        <f t="shared" si="32"/>
        <v>0</v>
      </c>
      <c r="V62" s="76"/>
      <c r="W62" s="76"/>
      <c r="X62" s="76"/>
      <c r="Y62" s="76"/>
      <c r="Z62" s="77"/>
      <c r="AA62" s="69">
        <v>1.01</v>
      </c>
    </row>
    <row r="63" spans="1:27" x14ac:dyDescent="0.3">
      <c r="A63" s="94" t="s">
        <v>310</v>
      </c>
      <c r="B63" s="75">
        <f t="shared" si="33"/>
        <v>15000</v>
      </c>
      <c r="C63" s="80">
        <v>15000</v>
      </c>
      <c r="D63" s="75">
        <f t="shared" si="29"/>
        <v>0</v>
      </c>
      <c r="E63" s="76"/>
      <c r="F63" s="76"/>
      <c r="G63" s="76"/>
      <c r="H63" s="76"/>
      <c r="I63" s="77"/>
      <c r="J63" s="78">
        <f t="shared" si="30"/>
        <v>15150</v>
      </c>
      <c r="K63" s="80">
        <f>ROUND(C63/$B63*$J63,0)</f>
        <v>15150</v>
      </c>
      <c r="L63" s="75">
        <f t="shared" si="31"/>
        <v>0</v>
      </c>
      <c r="M63" s="76"/>
      <c r="N63" s="76"/>
      <c r="O63" s="76"/>
      <c r="P63" s="76"/>
      <c r="Q63" s="77"/>
      <c r="R63" s="69">
        <v>1.01</v>
      </c>
      <c r="S63" s="78">
        <f>SUM(T63:U63)</f>
        <v>10000</v>
      </c>
      <c r="T63" s="80">
        <v>10000</v>
      </c>
      <c r="U63" s="75">
        <f t="shared" si="32"/>
        <v>0</v>
      </c>
      <c r="V63" s="76"/>
      <c r="W63" s="76"/>
      <c r="X63" s="76"/>
      <c r="Y63" s="76"/>
      <c r="Z63" s="77"/>
      <c r="AA63" s="69">
        <v>1</v>
      </c>
    </row>
    <row r="64" spans="1:27" x14ac:dyDescent="0.3">
      <c r="A64" s="84" t="s">
        <v>311</v>
      </c>
      <c r="B64" s="75">
        <f t="shared" si="33"/>
        <v>12500</v>
      </c>
      <c r="C64" s="80">
        <v>12500</v>
      </c>
      <c r="D64" s="75">
        <f t="shared" si="29"/>
        <v>0</v>
      </c>
      <c r="E64" s="76"/>
      <c r="F64" s="76"/>
      <c r="G64" s="76"/>
      <c r="H64" s="76"/>
      <c r="I64" s="77"/>
      <c r="J64" s="78">
        <f t="shared" si="30"/>
        <v>12625</v>
      </c>
      <c r="K64" s="80">
        <f>ROUND(C64/$B64*$J64,0)</f>
        <v>12625</v>
      </c>
      <c r="L64" s="75">
        <f t="shared" si="31"/>
        <v>0</v>
      </c>
      <c r="M64" s="76"/>
      <c r="N64" s="76"/>
      <c r="O64" s="76"/>
      <c r="P64" s="76"/>
      <c r="Q64" s="77"/>
      <c r="R64" s="69">
        <v>1.01</v>
      </c>
      <c r="S64" s="78">
        <f>ROUND(J64*AA64/100,0)*100</f>
        <v>12800</v>
      </c>
      <c r="T64" s="80">
        <f t="shared" si="34"/>
        <v>12800</v>
      </c>
      <c r="U64" s="75">
        <f t="shared" si="32"/>
        <v>0</v>
      </c>
      <c r="V64" s="76"/>
      <c r="W64" s="76"/>
      <c r="X64" s="76"/>
      <c r="Y64" s="76"/>
      <c r="Z64" s="77"/>
      <c r="AA64" s="69">
        <v>1.01</v>
      </c>
    </row>
    <row r="65" spans="1:27" x14ac:dyDescent="0.3">
      <c r="A65" s="79" t="s">
        <v>312</v>
      </c>
      <c r="B65" s="75">
        <f>C65+D65</f>
        <v>40000</v>
      </c>
      <c r="C65" s="80">
        <v>40000</v>
      </c>
      <c r="D65" s="75">
        <f>SUM(E65:I65)</f>
        <v>0</v>
      </c>
      <c r="E65" s="76"/>
      <c r="F65" s="76"/>
      <c r="G65" s="76"/>
      <c r="H65" s="76"/>
      <c r="I65" s="77"/>
      <c r="J65" s="78">
        <f t="shared" si="30"/>
        <v>40400</v>
      </c>
      <c r="K65" s="80">
        <f>ROUND(C65/$B65*$J65,0)</f>
        <v>40400</v>
      </c>
      <c r="L65" s="75">
        <f>SUM(M65:Q65)</f>
        <v>0</v>
      </c>
      <c r="M65" s="76"/>
      <c r="N65" s="76"/>
      <c r="O65" s="76"/>
      <c r="P65" s="76"/>
      <c r="Q65" s="77"/>
      <c r="R65" s="69">
        <v>1.01</v>
      </c>
      <c r="S65" s="78">
        <f>ROUND(J65*AA65/100,0)*100</f>
        <v>40800</v>
      </c>
      <c r="T65" s="80">
        <f t="shared" si="34"/>
        <v>40800</v>
      </c>
      <c r="U65" s="75">
        <f t="shared" si="32"/>
        <v>0</v>
      </c>
      <c r="V65" s="76"/>
      <c r="W65" s="76"/>
      <c r="X65" s="76"/>
      <c r="Y65" s="76"/>
      <c r="Z65" s="77"/>
      <c r="AA65" s="69">
        <v>1.01</v>
      </c>
    </row>
    <row r="66" spans="1:27" x14ac:dyDescent="0.3">
      <c r="A66" s="95" t="s">
        <v>313</v>
      </c>
      <c r="B66" s="75">
        <f t="shared" si="33"/>
        <v>0</v>
      </c>
      <c r="C66" s="80">
        <v>0</v>
      </c>
      <c r="D66" s="75">
        <f t="shared" si="29"/>
        <v>0</v>
      </c>
      <c r="E66" s="76"/>
      <c r="F66" s="76"/>
      <c r="G66" s="76"/>
      <c r="H66" s="76"/>
      <c r="I66" s="77"/>
      <c r="J66" s="78">
        <f t="shared" si="30"/>
        <v>0</v>
      </c>
      <c r="K66" s="80">
        <f>ROUND(C66/$B$6*$J$6,0)</f>
        <v>0</v>
      </c>
      <c r="L66" s="75">
        <f t="shared" si="31"/>
        <v>0</v>
      </c>
      <c r="M66" s="76"/>
      <c r="N66" s="76"/>
      <c r="O66" s="76"/>
      <c r="P66" s="76"/>
      <c r="Q66" s="77"/>
      <c r="R66" s="69">
        <v>1.01</v>
      </c>
      <c r="S66" s="78">
        <f>ROUND(J66*AA66,0)</f>
        <v>0</v>
      </c>
      <c r="T66" s="80">
        <v>0</v>
      </c>
      <c r="U66" s="75">
        <f t="shared" si="32"/>
        <v>0</v>
      </c>
      <c r="V66" s="76"/>
      <c r="W66" s="76"/>
      <c r="X66" s="76"/>
      <c r="Y66" s="76"/>
      <c r="Z66" s="77"/>
      <c r="AA66" s="69">
        <v>1.01</v>
      </c>
    </row>
    <row r="67" spans="1:27" x14ac:dyDescent="0.3">
      <c r="A67" s="79" t="s">
        <v>149</v>
      </c>
      <c r="B67" s="75">
        <f t="shared" si="33"/>
        <v>4000</v>
      </c>
      <c r="C67" s="80">
        <v>4000</v>
      </c>
      <c r="D67" s="75">
        <f t="shared" si="29"/>
        <v>0</v>
      </c>
      <c r="E67" s="76"/>
      <c r="F67" s="76"/>
      <c r="G67" s="76"/>
      <c r="H67" s="76"/>
      <c r="I67" s="77"/>
      <c r="J67" s="78">
        <f t="shared" si="30"/>
        <v>4040</v>
      </c>
      <c r="K67" s="80">
        <f>ROUND(C67/$B67*$J67,0)</f>
        <v>4040</v>
      </c>
      <c r="L67" s="75">
        <f t="shared" si="31"/>
        <v>0</v>
      </c>
      <c r="M67" s="76"/>
      <c r="N67" s="76"/>
      <c r="O67" s="76"/>
      <c r="P67" s="76"/>
      <c r="Q67" s="77"/>
      <c r="R67" s="69">
        <v>1.01</v>
      </c>
      <c r="S67" s="78">
        <f>ROUND(J67*AA67/100,0)*100</f>
        <v>4100</v>
      </c>
      <c r="T67" s="80">
        <f t="shared" si="34"/>
        <v>4100</v>
      </c>
      <c r="U67" s="75">
        <f t="shared" si="32"/>
        <v>0</v>
      </c>
      <c r="V67" s="76"/>
      <c r="W67" s="76"/>
      <c r="X67" s="76"/>
      <c r="Y67" s="76"/>
      <c r="Z67" s="77"/>
      <c r="AA67" s="69">
        <v>1.01</v>
      </c>
    </row>
    <row r="68" spans="1:27" x14ac:dyDescent="0.3">
      <c r="A68" s="79" t="s">
        <v>157</v>
      </c>
      <c r="B68" s="75">
        <f t="shared" si="33"/>
        <v>60000</v>
      </c>
      <c r="C68" s="80">
        <v>60000</v>
      </c>
      <c r="D68" s="75">
        <f t="shared" si="29"/>
        <v>0</v>
      </c>
      <c r="E68" s="76"/>
      <c r="F68" s="76"/>
      <c r="G68" s="76"/>
      <c r="H68" s="76"/>
      <c r="I68" s="77"/>
      <c r="J68" s="78">
        <f t="shared" si="30"/>
        <v>60600</v>
      </c>
      <c r="K68" s="80">
        <f>ROUND(C68/$B68*$J68,0)</f>
        <v>60600</v>
      </c>
      <c r="L68" s="75">
        <f t="shared" si="31"/>
        <v>0</v>
      </c>
      <c r="M68" s="76"/>
      <c r="N68" s="76"/>
      <c r="O68" s="76"/>
      <c r="P68" s="76"/>
      <c r="Q68" s="77"/>
      <c r="R68" s="69">
        <v>1.01</v>
      </c>
      <c r="S68" s="78">
        <v>60000</v>
      </c>
      <c r="T68" s="80">
        <f t="shared" si="34"/>
        <v>60000</v>
      </c>
      <c r="U68" s="75">
        <f t="shared" si="32"/>
        <v>0</v>
      </c>
      <c r="V68" s="76"/>
      <c r="W68" s="76"/>
      <c r="X68" s="76"/>
      <c r="Y68" s="76"/>
      <c r="Z68" s="77"/>
      <c r="AA68" s="69">
        <v>1</v>
      </c>
    </row>
    <row r="69" spans="1:27" x14ac:dyDescent="0.3">
      <c r="A69" s="71" t="s">
        <v>158</v>
      </c>
      <c r="B69" s="72">
        <f>SUM(B70:B81)</f>
        <v>263500</v>
      </c>
      <c r="C69" s="72">
        <f>SUM(C70:C81)</f>
        <v>261000</v>
      </c>
      <c r="D69" s="72">
        <f t="shared" ref="D69:I69" si="35">SUM(D70:D80)</f>
        <v>0</v>
      </c>
      <c r="E69" s="72">
        <f t="shared" si="35"/>
        <v>0</v>
      </c>
      <c r="F69" s="72">
        <f t="shared" si="35"/>
        <v>0</v>
      </c>
      <c r="G69" s="72">
        <f t="shared" si="35"/>
        <v>0</v>
      </c>
      <c r="H69" s="72">
        <f t="shared" si="35"/>
        <v>0</v>
      </c>
      <c r="I69" s="73">
        <f t="shared" si="35"/>
        <v>0</v>
      </c>
      <c r="J69" s="72">
        <f>SUM(J70:J81)</f>
        <v>454370</v>
      </c>
      <c r="K69" s="72">
        <f>SUM(K70:K81)</f>
        <v>454370</v>
      </c>
      <c r="L69" s="72">
        <f t="shared" ref="L69:Q69" si="36">SUM(L70:L80)</f>
        <v>0</v>
      </c>
      <c r="M69" s="72">
        <f t="shared" si="36"/>
        <v>0</v>
      </c>
      <c r="N69" s="72">
        <f t="shared" si="36"/>
        <v>0</v>
      </c>
      <c r="O69" s="72">
        <f t="shared" si="36"/>
        <v>0</v>
      </c>
      <c r="P69" s="72">
        <f t="shared" si="36"/>
        <v>0</v>
      </c>
      <c r="Q69" s="73">
        <f t="shared" si="36"/>
        <v>0</v>
      </c>
      <c r="R69" s="72"/>
      <c r="S69" s="72">
        <f>SUM(S70:S81)</f>
        <v>254152</v>
      </c>
      <c r="T69" s="72">
        <f>SUM(T70:T81)</f>
        <v>254152</v>
      </c>
      <c r="U69" s="72">
        <f t="shared" ref="U69:Z69" si="37">SUM(U70:U80)</f>
        <v>0</v>
      </c>
      <c r="V69" s="72">
        <f t="shared" si="37"/>
        <v>0</v>
      </c>
      <c r="W69" s="72">
        <f t="shared" si="37"/>
        <v>0</v>
      </c>
      <c r="X69" s="72">
        <f t="shared" si="37"/>
        <v>0</v>
      </c>
      <c r="Y69" s="72">
        <f t="shared" si="37"/>
        <v>0</v>
      </c>
      <c r="Z69" s="73">
        <f t="shared" si="37"/>
        <v>0</v>
      </c>
      <c r="AA69" s="72"/>
    </row>
    <row r="70" spans="1:27" x14ac:dyDescent="0.3">
      <c r="A70" s="82" t="s">
        <v>314</v>
      </c>
      <c r="B70" s="75">
        <f t="shared" ref="B70:B78" si="38">C70+D70</f>
        <v>30000</v>
      </c>
      <c r="C70" s="80">
        <v>30000</v>
      </c>
      <c r="D70" s="75">
        <f>SUM(E70:I70)</f>
        <v>0</v>
      </c>
      <c r="E70" s="76"/>
      <c r="F70" s="76"/>
      <c r="G70" s="76"/>
      <c r="H70" s="76"/>
      <c r="I70" s="77"/>
      <c r="J70" s="78">
        <f>ROUND(B70*R70,0)</f>
        <v>30300</v>
      </c>
      <c r="K70" s="80">
        <f>ROUND(C70/$B70*$J70,0)</f>
        <v>30300</v>
      </c>
      <c r="L70" s="75">
        <f>SUM(M70:Q70)</f>
        <v>0</v>
      </c>
      <c r="M70" s="76"/>
      <c r="N70" s="76"/>
      <c r="O70" s="76"/>
      <c r="P70" s="76"/>
      <c r="Q70" s="77"/>
      <c r="R70" s="69">
        <v>1.01</v>
      </c>
      <c r="S70" s="78">
        <f>SUM(T70:U70)</f>
        <v>15000</v>
      </c>
      <c r="T70" s="80">
        <v>15000</v>
      </c>
      <c r="U70" s="75">
        <f t="shared" ref="U70:U81" si="39">SUM(V70:Z70)</f>
        <v>0</v>
      </c>
      <c r="V70" s="76"/>
      <c r="W70" s="76"/>
      <c r="X70" s="76"/>
      <c r="Y70" s="76"/>
      <c r="Z70" s="77"/>
      <c r="AA70" s="69">
        <v>1</v>
      </c>
    </row>
    <row r="71" spans="1:27" x14ac:dyDescent="0.3">
      <c r="A71" s="96" t="s">
        <v>315</v>
      </c>
      <c r="B71" s="75">
        <f>C71+D71+2500</f>
        <v>22500</v>
      </c>
      <c r="C71" s="80">
        <v>20000</v>
      </c>
      <c r="D71" s="75">
        <f t="shared" ref="D71:D79" si="40">SUM(E71:I71)</f>
        <v>0</v>
      </c>
      <c r="E71" s="76"/>
      <c r="F71" s="76"/>
      <c r="G71" s="76"/>
      <c r="H71" s="76"/>
      <c r="I71" s="77"/>
      <c r="J71" s="78">
        <f>ROUND(B71*R71,0)</f>
        <v>22725</v>
      </c>
      <c r="K71" s="80">
        <f>ROUND(C71/$B71*$J71,0)+2525</f>
        <v>22725</v>
      </c>
      <c r="L71" s="75">
        <f t="shared" ref="L71:L79" si="41">SUM(M71:Q71)</f>
        <v>0</v>
      </c>
      <c r="M71" s="76"/>
      <c r="N71" s="76"/>
      <c r="O71" s="76"/>
      <c r="P71" s="76"/>
      <c r="Q71" s="77"/>
      <c r="R71" s="69">
        <v>1.01</v>
      </c>
      <c r="S71" s="78">
        <f>ROUND(J71*AA71,0)</f>
        <v>22952</v>
      </c>
      <c r="T71" s="80">
        <f t="shared" ref="T71:T80" si="42">ROUND(K71/$J71*$S71,0)</f>
        <v>22952</v>
      </c>
      <c r="U71" s="75">
        <f t="shared" si="39"/>
        <v>0</v>
      </c>
      <c r="V71" s="76"/>
      <c r="W71" s="76"/>
      <c r="X71" s="76"/>
      <c r="Y71" s="76"/>
      <c r="Z71" s="77"/>
      <c r="AA71" s="69">
        <v>1.01</v>
      </c>
    </row>
    <row r="72" spans="1:27" x14ac:dyDescent="0.3">
      <c r="A72" s="82" t="s">
        <v>166</v>
      </c>
      <c r="B72" s="75">
        <f t="shared" si="38"/>
        <v>1500</v>
      </c>
      <c r="C72" s="80">
        <v>1500</v>
      </c>
      <c r="D72" s="75">
        <f t="shared" si="40"/>
        <v>0</v>
      </c>
      <c r="E72" s="76" t="s">
        <v>316</v>
      </c>
      <c r="F72" s="76"/>
      <c r="G72" s="76"/>
      <c r="H72" s="76"/>
      <c r="I72" s="77"/>
      <c r="J72" s="78">
        <v>0</v>
      </c>
      <c r="K72" s="80">
        <v>0</v>
      </c>
      <c r="L72" s="75">
        <f t="shared" si="41"/>
        <v>0</v>
      </c>
      <c r="M72" s="76" t="s">
        <v>316</v>
      </c>
      <c r="N72" s="76"/>
      <c r="O72" s="76"/>
      <c r="P72" s="76"/>
      <c r="Q72" s="77"/>
      <c r="R72" s="69">
        <v>1.01</v>
      </c>
      <c r="S72" s="78">
        <v>0</v>
      </c>
      <c r="T72" s="80">
        <v>0</v>
      </c>
      <c r="U72" s="75">
        <f t="shared" si="39"/>
        <v>0</v>
      </c>
      <c r="V72" s="76" t="s">
        <v>316</v>
      </c>
      <c r="W72" s="76"/>
      <c r="X72" s="76"/>
      <c r="Y72" s="76"/>
      <c r="Z72" s="77"/>
      <c r="AA72" s="69">
        <v>1.01</v>
      </c>
    </row>
    <row r="73" spans="1:27" x14ac:dyDescent="0.3">
      <c r="A73" s="82" t="s">
        <v>317</v>
      </c>
      <c r="B73" s="75">
        <f t="shared" si="38"/>
        <v>10000</v>
      </c>
      <c r="C73" s="80">
        <v>10000</v>
      </c>
      <c r="D73" s="75">
        <f t="shared" si="40"/>
        <v>0</v>
      </c>
      <c r="E73" s="76"/>
      <c r="F73" s="76"/>
      <c r="G73" s="76"/>
      <c r="H73" s="76"/>
      <c r="I73" s="77"/>
      <c r="J73" s="78">
        <f>200000+15000</f>
        <v>215000</v>
      </c>
      <c r="K73" s="80">
        <f t="shared" ref="K73:K81" si="43">ROUND(C73/$B73*$J73,0)</f>
        <v>215000</v>
      </c>
      <c r="L73" s="75">
        <f t="shared" si="41"/>
        <v>0</v>
      </c>
      <c r="M73" s="76"/>
      <c r="N73" s="76"/>
      <c r="O73" s="76"/>
      <c r="P73" s="76"/>
      <c r="Q73" s="77"/>
      <c r="R73" s="69">
        <v>1.01</v>
      </c>
      <c r="S73" s="78">
        <f>SUM(T73:U73)</f>
        <v>20000</v>
      </c>
      <c r="T73" s="80">
        <v>20000</v>
      </c>
      <c r="U73" s="75">
        <f t="shared" si="39"/>
        <v>0</v>
      </c>
      <c r="V73" s="76"/>
      <c r="W73" s="76"/>
      <c r="X73" s="76"/>
      <c r="Y73" s="76"/>
      <c r="Z73" s="77"/>
      <c r="AA73" s="69">
        <v>1</v>
      </c>
    </row>
    <row r="74" spans="1:27" x14ac:dyDescent="0.3">
      <c r="A74" s="96" t="s">
        <v>318</v>
      </c>
      <c r="B74" s="75">
        <f t="shared" si="38"/>
        <v>5000</v>
      </c>
      <c r="C74" s="80">
        <v>5000</v>
      </c>
      <c r="D74" s="75">
        <f t="shared" si="40"/>
        <v>0</v>
      </c>
      <c r="E74" s="76"/>
      <c r="F74" s="76"/>
      <c r="G74" s="76"/>
      <c r="H74" s="76"/>
      <c r="I74" s="77"/>
      <c r="J74" s="78">
        <f t="shared" ref="J74:J79" si="44">ROUND(B74*R74,0)</f>
        <v>5050</v>
      </c>
      <c r="K74" s="80">
        <f t="shared" si="43"/>
        <v>5050</v>
      </c>
      <c r="L74" s="75">
        <f t="shared" si="41"/>
        <v>0</v>
      </c>
      <c r="M74" s="76"/>
      <c r="N74" s="76"/>
      <c r="O74" s="76"/>
      <c r="P74" s="76"/>
      <c r="Q74" s="77"/>
      <c r="R74" s="69">
        <v>1.01</v>
      </c>
      <c r="S74" s="78">
        <f>ROUND(J74*AA74,0)</f>
        <v>5101</v>
      </c>
      <c r="T74" s="80">
        <f t="shared" si="42"/>
        <v>5101</v>
      </c>
      <c r="U74" s="75">
        <f t="shared" si="39"/>
        <v>0</v>
      </c>
      <c r="V74" s="76"/>
      <c r="W74" s="76"/>
      <c r="X74" s="76"/>
      <c r="Y74" s="76"/>
      <c r="Z74" s="77"/>
      <c r="AA74" s="69">
        <v>1.01</v>
      </c>
    </row>
    <row r="75" spans="1:27" x14ac:dyDescent="0.3">
      <c r="A75" s="96" t="s">
        <v>319</v>
      </c>
      <c r="B75" s="75">
        <v>45000</v>
      </c>
      <c r="C75" s="80">
        <v>45000</v>
      </c>
      <c r="D75" s="75">
        <f>SUM(E75:I75)</f>
        <v>0</v>
      </c>
      <c r="E75" s="76"/>
      <c r="F75" s="76"/>
      <c r="G75" s="76"/>
      <c r="H75" s="76"/>
      <c r="I75" s="77"/>
      <c r="J75" s="78">
        <f t="shared" si="44"/>
        <v>45450</v>
      </c>
      <c r="K75" s="80">
        <f t="shared" si="43"/>
        <v>45450</v>
      </c>
      <c r="L75" s="75">
        <f>SUM(M75:Q75)</f>
        <v>0</v>
      </c>
      <c r="M75" s="76"/>
      <c r="N75" s="76"/>
      <c r="O75" s="76"/>
      <c r="P75" s="76"/>
      <c r="Q75" s="77"/>
      <c r="R75" s="69">
        <v>1.01</v>
      </c>
      <c r="S75" s="78">
        <f>ROUND(J75*AA75,0)</f>
        <v>45905</v>
      </c>
      <c r="T75" s="80">
        <f t="shared" si="42"/>
        <v>45905</v>
      </c>
      <c r="U75" s="75">
        <f t="shared" si="39"/>
        <v>0</v>
      </c>
      <c r="V75" s="76"/>
      <c r="W75" s="76"/>
      <c r="X75" s="76"/>
      <c r="Y75" s="76"/>
      <c r="Z75" s="77"/>
      <c r="AA75" s="69">
        <v>1.01</v>
      </c>
    </row>
    <row r="76" spans="1:27" x14ac:dyDescent="0.3">
      <c r="A76" s="82" t="s">
        <v>170</v>
      </c>
      <c r="B76" s="75">
        <f t="shared" si="38"/>
        <v>4500</v>
      </c>
      <c r="C76" s="80">
        <v>4500</v>
      </c>
      <c r="D76" s="75">
        <f t="shared" si="40"/>
        <v>0</v>
      </c>
      <c r="E76" s="76"/>
      <c r="F76" s="76"/>
      <c r="G76" s="76"/>
      <c r="H76" s="76"/>
      <c r="I76" s="77"/>
      <c r="J76" s="78">
        <f t="shared" si="44"/>
        <v>4545</v>
      </c>
      <c r="K76" s="80">
        <f t="shared" si="43"/>
        <v>4545</v>
      </c>
      <c r="L76" s="75">
        <f t="shared" si="41"/>
        <v>0</v>
      </c>
      <c r="M76" s="76"/>
      <c r="N76" s="76"/>
      <c r="O76" s="76"/>
      <c r="P76" s="76"/>
      <c r="Q76" s="77"/>
      <c r="R76" s="69">
        <v>1.01</v>
      </c>
      <c r="S76" s="78">
        <f>ROUND(J76*AA76,0)</f>
        <v>4590</v>
      </c>
      <c r="T76" s="80">
        <f t="shared" si="42"/>
        <v>4590</v>
      </c>
      <c r="U76" s="75">
        <f t="shared" si="39"/>
        <v>0</v>
      </c>
      <c r="V76" s="76"/>
      <c r="W76" s="76"/>
      <c r="X76" s="76"/>
      <c r="Y76" s="76"/>
      <c r="Z76" s="77"/>
      <c r="AA76" s="69">
        <v>1.01</v>
      </c>
    </row>
    <row r="77" spans="1:27" x14ac:dyDescent="0.3">
      <c r="A77" s="82" t="s">
        <v>172</v>
      </c>
      <c r="B77" s="75">
        <f t="shared" si="38"/>
        <v>20000</v>
      </c>
      <c r="C77" s="80">
        <v>20000</v>
      </c>
      <c r="D77" s="75">
        <f t="shared" si="40"/>
        <v>0</v>
      </c>
      <c r="E77" s="76"/>
      <c r="F77" s="76"/>
      <c r="G77" s="76"/>
      <c r="H77" s="76"/>
      <c r="I77" s="77"/>
      <c r="J77" s="78">
        <f t="shared" si="44"/>
        <v>20200</v>
      </c>
      <c r="K77" s="80">
        <f t="shared" si="43"/>
        <v>20200</v>
      </c>
      <c r="L77" s="75">
        <f t="shared" si="41"/>
        <v>0</v>
      </c>
      <c r="M77" s="76"/>
      <c r="N77" s="76"/>
      <c r="O77" s="76"/>
      <c r="P77" s="76"/>
      <c r="Q77" s="77"/>
      <c r="R77" s="69">
        <v>1.01</v>
      </c>
      <c r="S77" s="78">
        <f>ROUND(J77*AA77,0)</f>
        <v>20402</v>
      </c>
      <c r="T77" s="80">
        <f t="shared" si="42"/>
        <v>20402</v>
      </c>
      <c r="U77" s="75">
        <f t="shared" si="39"/>
        <v>0</v>
      </c>
      <c r="V77" s="76"/>
      <c r="W77" s="76"/>
      <c r="X77" s="76"/>
      <c r="Y77" s="76"/>
      <c r="Z77" s="77"/>
      <c r="AA77" s="69">
        <v>1.01</v>
      </c>
    </row>
    <row r="78" spans="1:27" x14ac:dyDescent="0.3">
      <c r="A78" s="82" t="s">
        <v>320</v>
      </c>
      <c r="B78" s="75">
        <f t="shared" si="38"/>
        <v>15000</v>
      </c>
      <c r="C78" s="80">
        <v>15000</v>
      </c>
      <c r="D78" s="75">
        <f t="shared" si="40"/>
        <v>0</v>
      </c>
      <c r="E78" s="76"/>
      <c r="F78" s="76"/>
      <c r="G78" s="76"/>
      <c r="H78" s="76"/>
      <c r="I78" s="77"/>
      <c r="J78" s="78">
        <f t="shared" si="44"/>
        <v>15150</v>
      </c>
      <c r="K78" s="80">
        <f t="shared" si="43"/>
        <v>15150</v>
      </c>
      <c r="L78" s="75">
        <f t="shared" si="41"/>
        <v>0</v>
      </c>
      <c r="M78" s="76"/>
      <c r="N78" s="76"/>
      <c r="O78" s="76"/>
      <c r="P78" s="76"/>
      <c r="Q78" s="77"/>
      <c r="R78" s="69">
        <v>1.01</v>
      </c>
      <c r="S78" s="78">
        <f>SUM(T78:U78)</f>
        <v>5000</v>
      </c>
      <c r="T78" s="80">
        <v>5000</v>
      </c>
      <c r="U78" s="75">
        <f t="shared" si="39"/>
        <v>0</v>
      </c>
      <c r="V78" s="76"/>
      <c r="W78" s="76"/>
      <c r="X78" s="76"/>
      <c r="Y78" s="76"/>
      <c r="Z78" s="77"/>
      <c r="AA78" s="69">
        <v>1</v>
      </c>
    </row>
    <row r="79" spans="1:27" x14ac:dyDescent="0.3">
      <c r="A79" s="82" t="s">
        <v>321</v>
      </c>
      <c r="B79" s="75">
        <f>C79+D79</f>
        <v>70000</v>
      </c>
      <c r="C79" s="80">
        <v>70000</v>
      </c>
      <c r="D79" s="75">
        <f t="shared" si="40"/>
        <v>0</v>
      </c>
      <c r="E79" s="76"/>
      <c r="F79" s="76"/>
      <c r="G79" s="76"/>
      <c r="H79" s="76"/>
      <c r="I79" s="77"/>
      <c r="J79" s="78">
        <f t="shared" si="44"/>
        <v>70700</v>
      </c>
      <c r="K79" s="80">
        <f t="shared" si="43"/>
        <v>70700</v>
      </c>
      <c r="L79" s="75">
        <f t="shared" si="41"/>
        <v>0</v>
      </c>
      <c r="M79" s="76"/>
      <c r="N79" s="76"/>
      <c r="O79" s="76"/>
      <c r="P79" s="76"/>
      <c r="Q79" s="77"/>
      <c r="R79" s="69">
        <v>1.01</v>
      </c>
      <c r="S79" s="78">
        <f>SUM(T79:U79)</f>
        <v>100000</v>
      </c>
      <c r="T79" s="80">
        <v>100000</v>
      </c>
      <c r="U79" s="75">
        <f t="shared" si="39"/>
        <v>0</v>
      </c>
      <c r="V79" s="76"/>
      <c r="W79" s="76"/>
      <c r="X79" s="76"/>
      <c r="Y79" s="76"/>
      <c r="Z79" s="77"/>
      <c r="AA79" s="69">
        <v>1</v>
      </c>
    </row>
    <row r="80" spans="1:27" x14ac:dyDescent="0.3">
      <c r="A80" s="82" t="s">
        <v>322</v>
      </c>
      <c r="B80" s="75">
        <f>C80+D80</f>
        <v>20000</v>
      </c>
      <c r="C80" s="80">
        <v>20000</v>
      </c>
      <c r="D80" s="75">
        <f>SUM(E80:I80)</f>
        <v>0</v>
      </c>
      <c r="E80" s="76" t="s">
        <v>316</v>
      </c>
      <c r="F80" s="76"/>
      <c r="G80" s="76" t="s">
        <v>316</v>
      </c>
      <c r="H80" s="76" t="s">
        <v>316</v>
      </c>
      <c r="I80" s="77"/>
      <c r="J80" s="78">
        <f>ROUND(B80*R80,0)/4</f>
        <v>5050</v>
      </c>
      <c r="K80" s="80">
        <f t="shared" si="43"/>
        <v>5050</v>
      </c>
      <c r="L80" s="75">
        <f>SUM(M80:Q80)</f>
        <v>0</v>
      </c>
      <c r="M80" s="76" t="s">
        <v>316</v>
      </c>
      <c r="N80" s="76"/>
      <c r="O80" s="76" t="s">
        <v>316</v>
      </c>
      <c r="P80" s="76" t="s">
        <v>316</v>
      </c>
      <c r="Q80" s="77"/>
      <c r="R80" s="69">
        <v>1.01</v>
      </c>
      <c r="S80" s="78">
        <f>ROUND(J80*AA80,0)*2</f>
        <v>10202</v>
      </c>
      <c r="T80" s="80">
        <f t="shared" si="42"/>
        <v>10202</v>
      </c>
      <c r="U80" s="75">
        <f t="shared" si="39"/>
        <v>0</v>
      </c>
      <c r="V80" s="76" t="s">
        <v>316</v>
      </c>
      <c r="W80" s="76"/>
      <c r="X80" s="76" t="s">
        <v>316</v>
      </c>
      <c r="Y80" s="76" t="s">
        <v>316</v>
      </c>
      <c r="Z80" s="77"/>
      <c r="AA80" s="69">
        <v>1.01</v>
      </c>
    </row>
    <row r="81" spans="1:27" x14ac:dyDescent="0.3">
      <c r="A81" s="82" t="s">
        <v>323</v>
      </c>
      <c r="B81" s="75">
        <f>C81+D81</f>
        <v>20000</v>
      </c>
      <c r="C81" s="80">
        <v>20000</v>
      </c>
      <c r="D81" s="75">
        <f>SUM(E81:I81)</f>
        <v>0</v>
      </c>
      <c r="E81" s="76"/>
      <c r="F81" s="76"/>
      <c r="G81" s="76"/>
      <c r="H81" s="76"/>
      <c r="I81" s="77"/>
      <c r="J81" s="78">
        <f>ROUND(B81*R81,0)</f>
        <v>20200</v>
      </c>
      <c r="K81" s="80">
        <f t="shared" si="43"/>
        <v>20200</v>
      </c>
      <c r="L81" s="75">
        <f>SUM(M81:Q81)</f>
        <v>0</v>
      </c>
      <c r="M81" s="76"/>
      <c r="N81" s="76"/>
      <c r="O81" s="76"/>
      <c r="P81" s="76"/>
      <c r="Q81" s="77"/>
      <c r="R81" s="69">
        <v>1.01</v>
      </c>
      <c r="S81" s="78">
        <f>SUM(T81:U81)</f>
        <v>5000</v>
      </c>
      <c r="T81" s="80">
        <v>5000</v>
      </c>
      <c r="U81" s="75">
        <f t="shared" si="39"/>
        <v>0</v>
      </c>
      <c r="V81" s="76"/>
      <c r="W81" s="76"/>
      <c r="X81" s="76"/>
      <c r="Y81" s="76"/>
      <c r="Z81" s="77"/>
      <c r="AA81" s="69">
        <v>1</v>
      </c>
    </row>
    <row r="82" spans="1:27" x14ac:dyDescent="0.3">
      <c r="A82" s="71" t="s">
        <v>176</v>
      </c>
      <c r="B82" s="72">
        <f t="shared" ref="B82:Z82" si="45">SUM(B83:B83)</f>
        <v>4000</v>
      </c>
      <c r="C82" s="72">
        <f t="shared" si="45"/>
        <v>4000</v>
      </c>
      <c r="D82" s="72">
        <f t="shared" si="45"/>
        <v>0</v>
      </c>
      <c r="E82" s="72">
        <f t="shared" si="45"/>
        <v>0</v>
      </c>
      <c r="F82" s="72">
        <f t="shared" si="45"/>
        <v>0</v>
      </c>
      <c r="G82" s="72">
        <f t="shared" si="45"/>
        <v>0</v>
      </c>
      <c r="H82" s="72">
        <f t="shared" si="45"/>
        <v>0</v>
      </c>
      <c r="I82" s="73">
        <f t="shared" si="45"/>
        <v>0</v>
      </c>
      <c r="J82" s="72">
        <f>J83</f>
        <v>4040</v>
      </c>
      <c r="K82" s="72">
        <f t="shared" si="45"/>
        <v>4040</v>
      </c>
      <c r="L82" s="72">
        <f t="shared" si="45"/>
        <v>0</v>
      </c>
      <c r="M82" s="72">
        <f t="shared" si="45"/>
        <v>0</v>
      </c>
      <c r="N82" s="72">
        <f t="shared" si="45"/>
        <v>0</v>
      </c>
      <c r="O82" s="72">
        <f t="shared" si="45"/>
        <v>0</v>
      </c>
      <c r="P82" s="72">
        <f t="shared" si="45"/>
        <v>0</v>
      </c>
      <c r="Q82" s="73">
        <f t="shared" si="45"/>
        <v>0</v>
      </c>
      <c r="R82" s="72"/>
      <c r="S82" s="72">
        <f>S83</f>
        <v>4080</v>
      </c>
      <c r="T82" s="72">
        <f t="shared" si="45"/>
        <v>4080</v>
      </c>
      <c r="U82" s="72">
        <f t="shared" si="45"/>
        <v>0</v>
      </c>
      <c r="V82" s="72">
        <f t="shared" si="45"/>
        <v>0</v>
      </c>
      <c r="W82" s="72">
        <f t="shared" si="45"/>
        <v>0</v>
      </c>
      <c r="X82" s="72">
        <f t="shared" si="45"/>
        <v>0</v>
      </c>
      <c r="Y82" s="72">
        <f t="shared" si="45"/>
        <v>0</v>
      </c>
      <c r="Z82" s="73">
        <f t="shared" si="45"/>
        <v>0</v>
      </c>
      <c r="AA82" s="72"/>
    </row>
    <row r="83" spans="1:27" x14ac:dyDescent="0.3">
      <c r="A83" s="95" t="s">
        <v>324</v>
      </c>
      <c r="B83" s="75">
        <f>+C83+D83</f>
        <v>4000</v>
      </c>
      <c r="C83" s="80">
        <v>4000</v>
      </c>
      <c r="D83" s="75">
        <v>0</v>
      </c>
      <c r="E83" s="80">
        <v>0</v>
      </c>
      <c r="F83" s="80">
        <v>0</v>
      </c>
      <c r="G83" s="80">
        <v>0</v>
      </c>
      <c r="H83" s="80">
        <v>0</v>
      </c>
      <c r="I83" s="81">
        <v>0</v>
      </c>
      <c r="J83" s="78">
        <f>ROUND(B83*R83,0)</f>
        <v>4040</v>
      </c>
      <c r="K83" s="80">
        <f>ROUND(C83/$B83*$J83,0)</f>
        <v>4040</v>
      </c>
      <c r="L83" s="75">
        <v>0</v>
      </c>
      <c r="M83" s="80">
        <v>0</v>
      </c>
      <c r="N83" s="80">
        <v>0</v>
      </c>
      <c r="O83" s="80">
        <v>0</v>
      </c>
      <c r="P83" s="80">
        <v>0</v>
      </c>
      <c r="Q83" s="81">
        <v>0</v>
      </c>
      <c r="R83" s="69">
        <v>1.01</v>
      </c>
      <c r="S83" s="78">
        <f>ROUND(J83*AA83,0)</f>
        <v>4080</v>
      </c>
      <c r="T83" s="80">
        <f>ROUND(K83/$B83*$J83,0)</f>
        <v>4080</v>
      </c>
      <c r="U83" s="75">
        <v>0</v>
      </c>
      <c r="V83" s="80">
        <v>0</v>
      </c>
      <c r="W83" s="80">
        <v>0</v>
      </c>
      <c r="X83" s="80">
        <v>0</v>
      </c>
      <c r="Y83" s="80">
        <v>0</v>
      </c>
      <c r="Z83" s="81">
        <v>0</v>
      </c>
      <c r="AA83" s="69">
        <v>1.01</v>
      </c>
    </row>
    <row r="84" spans="1:27" x14ac:dyDescent="0.3">
      <c r="A84" s="71" t="s">
        <v>15</v>
      </c>
      <c r="B84" s="72">
        <f t="shared" ref="B84:I84" si="46">SUM(B85:B98)</f>
        <v>1389500</v>
      </c>
      <c r="C84" s="72">
        <f t="shared" si="46"/>
        <v>566725</v>
      </c>
      <c r="D84" s="72">
        <f t="shared" si="46"/>
        <v>822775</v>
      </c>
      <c r="E84" s="72">
        <f t="shared" si="46"/>
        <v>333680</v>
      </c>
      <c r="F84" s="72">
        <f t="shared" si="46"/>
        <v>147680</v>
      </c>
      <c r="G84" s="72">
        <f t="shared" si="46"/>
        <v>118570</v>
      </c>
      <c r="H84" s="72">
        <f t="shared" si="46"/>
        <v>81800</v>
      </c>
      <c r="I84" s="72">
        <f t="shared" si="46"/>
        <v>141045</v>
      </c>
      <c r="J84" s="72">
        <f t="shared" ref="J84:Q84" si="47">SUM(J85:J98)</f>
        <v>1611076</v>
      </c>
      <c r="K84" s="72">
        <f t="shared" si="47"/>
        <v>796669</v>
      </c>
      <c r="L84" s="72">
        <f t="shared" si="47"/>
        <v>814407</v>
      </c>
      <c r="M84" s="72">
        <f t="shared" si="47"/>
        <v>323898</v>
      </c>
      <c r="N84" s="72">
        <f t="shared" si="47"/>
        <v>151099</v>
      </c>
      <c r="O84" s="72">
        <f t="shared" si="47"/>
        <v>118182</v>
      </c>
      <c r="P84" s="72">
        <f t="shared" si="47"/>
        <v>78460</v>
      </c>
      <c r="Q84" s="72">
        <f t="shared" si="47"/>
        <v>142768</v>
      </c>
      <c r="R84" s="72"/>
      <c r="S84" s="72">
        <f t="shared" ref="S84:Z84" si="48">SUM(S85:S98)</f>
        <v>1703243.5</v>
      </c>
      <c r="T84" s="72">
        <f t="shared" si="48"/>
        <v>770411</v>
      </c>
      <c r="U84" s="72">
        <f t="shared" si="48"/>
        <v>932833</v>
      </c>
      <c r="V84" s="72">
        <f t="shared" si="48"/>
        <v>351456</v>
      </c>
      <c r="W84" s="72">
        <f t="shared" si="48"/>
        <v>161741</v>
      </c>
      <c r="X84" s="72">
        <f t="shared" si="48"/>
        <v>120457</v>
      </c>
      <c r="Y84" s="72">
        <f t="shared" si="48"/>
        <v>110929</v>
      </c>
      <c r="Z84" s="72">
        <f t="shared" si="48"/>
        <v>188250</v>
      </c>
      <c r="AA84" s="72"/>
    </row>
    <row r="85" spans="1:27" x14ac:dyDescent="0.3">
      <c r="A85" s="79" t="s">
        <v>325</v>
      </c>
      <c r="B85" s="75">
        <f>C85+D85</f>
        <v>1350000</v>
      </c>
      <c r="C85" s="80">
        <v>531125</v>
      </c>
      <c r="D85" s="75">
        <f>SUM(E85:I85)</f>
        <v>818875</v>
      </c>
      <c r="E85" s="80">
        <v>332180</v>
      </c>
      <c r="F85" s="80">
        <v>147080</v>
      </c>
      <c r="G85" s="80">
        <v>117970</v>
      </c>
      <c r="H85" s="80">
        <v>81200</v>
      </c>
      <c r="I85" s="81">
        <v>140445</v>
      </c>
      <c r="J85" s="78">
        <f>SUM(K85:L85)</f>
        <v>1571566</v>
      </c>
      <c r="K85" s="80">
        <v>761098</v>
      </c>
      <c r="L85" s="75">
        <f>SUM(M85:Q85)</f>
        <v>810468</v>
      </c>
      <c r="M85" s="80">
        <v>322383</v>
      </c>
      <c r="N85" s="80">
        <v>150493</v>
      </c>
      <c r="O85" s="80">
        <v>117576</v>
      </c>
      <c r="P85" s="80">
        <v>77854</v>
      </c>
      <c r="Q85" s="81">
        <v>142162</v>
      </c>
      <c r="R85" s="69">
        <v>1.02</v>
      </c>
      <c r="S85" s="78">
        <f>SUM(T85:U85)</f>
        <v>1666644</v>
      </c>
      <c r="T85" s="80">
        <v>738751</v>
      </c>
      <c r="U85" s="75">
        <f>SUM(V85:Z85)</f>
        <v>927893</v>
      </c>
      <c r="V85" s="80">
        <v>349556</v>
      </c>
      <c r="W85" s="80">
        <v>160981</v>
      </c>
      <c r="X85" s="80">
        <v>119697</v>
      </c>
      <c r="Y85" s="80">
        <v>110169</v>
      </c>
      <c r="Z85" s="81">
        <v>187490</v>
      </c>
      <c r="AA85" s="69">
        <v>1</v>
      </c>
    </row>
    <row r="86" spans="1:27" hidden="1" x14ac:dyDescent="0.3">
      <c r="A86" s="83" t="s">
        <v>326</v>
      </c>
      <c r="B86" s="75"/>
      <c r="C86" s="80"/>
      <c r="D86" s="75"/>
      <c r="E86" s="76"/>
      <c r="F86" s="76"/>
      <c r="G86" s="76"/>
      <c r="H86" s="76"/>
      <c r="I86" s="77"/>
      <c r="J86" s="78"/>
      <c r="K86" s="80"/>
      <c r="L86" s="75"/>
      <c r="M86" s="76"/>
      <c r="N86" s="76"/>
      <c r="O86" s="76"/>
      <c r="P86" s="76"/>
      <c r="Q86" s="77"/>
      <c r="R86" s="69"/>
      <c r="S86" s="78"/>
      <c r="T86" s="80"/>
      <c r="U86" s="75"/>
      <c r="V86" s="76"/>
      <c r="W86" s="76"/>
      <c r="X86" s="76"/>
      <c r="Y86" s="76"/>
      <c r="Z86" s="77"/>
      <c r="AA86" s="69"/>
    </row>
    <row r="87" spans="1:27" hidden="1" x14ac:dyDescent="0.3">
      <c r="A87" s="83" t="s">
        <v>327</v>
      </c>
      <c r="B87" s="75"/>
      <c r="C87" s="80"/>
      <c r="D87" s="75"/>
      <c r="E87" s="76"/>
      <c r="F87" s="76"/>
      <c r="G87" s="76"/>
      <c r="H87" s="76"/>
      <c r="I87" s="77"/>
      <c r="J87" s="78"/>
      <c r="K87" s="80"/>
      <c r="L87" s="75"/>
      <c r="M87" s="76"/>
      <c r="N87" s="76"/>
      <c r="O87" s="76"/>
      <c r="P87" s="76"/>
      <c r="Q87" s="77"/>
      <c r="R87" s="69"/>
      <c r="S87" s="78"/>
      <c r="T87" s="80"/>
      <c r="U87" s="75"/>
      <c r="V87" s="76"/>
      <c r="W87" s="76"/>
      <c r="X87" s="76"/>
      <c r="Y87" s="76"/>
      <c r="Z87" s="77"/>
      <c r="AA87" s="69"/>
    </row>
    <row r="88" spans="1:27" hidden="1" x14ac:dyDescent="0.3">
      <c r="A88" s="83" t="s">
        <v>328</v>
      </c>
      <c r="B88" s="75"/>
      <c r="C88" s="80"/>
      <c r="D88" s="75"/>
      <c r="E88" s="76"/>
      <c r="F88" s="76"/>
      <c r="G88" s="76"/>
      <c r="H88" s="76"/>
      <c r="I88" s="77"/>
      <c r="J88" s="78"/>
      <c r="K88" s="80"/>
      <c r="L88" s="75"/>
      <c r="M88" s="76"/>
      <c r="N88" s="76"/>
      <c r="O88" s="76"/>
      <c r="P88" s="76"/>
      <c r="Q88" s="77"/>
      <c r="R88" s="69"/>
      <c r="S88" s="78"/>
      <c r="T88" s="80"/>
      <c r="U88" s="75"/>
      <c r="V88" s="76"/>
      <c r="W88" s="76"/>
      <c r="X88" s="76"/>
      <c r="Y88" s="76"/>
      <c r="Z88" s="77"/>
      <c r="AA88" s="69"/>
    </row>
    <row r="89" spans="1:27" hidden="1" x14ac:dyDescent="0.3">
      <c r="A89" s="83" t="s">
        <v>329</v>
      </c>
      <c r="B89" s="75"/>
      <c r="C89" s="80"/>
      <c r="D89" s="75"/>
      <c r="E89" s="76"/>
      <c r="F89" s="76"/>
      <c r="G89" s="76"/>
      <c r="H89" s="76"/>
      <c r="I89" s="77"/>
      <c r="J89" s="78"/>
      <c r="K89" s="80"/>
      <c r="L89" s="75"/>
      <c r="M89" s="76"/>
      <c r="N89" s="76"/>
      <c r="O89" s="76"/>
      <c r="P89" s="76"/>
      <c r="Q89" s="77"/>
      <c r="R89" s="69"/>
      <c r="S89" s="78"/>
      <c r="T89" s="80"/>
      <c r="U89" s="75"/>
      <c r="V89" s="76"/>
      <c r="W89" s="76"/>
      <c r="X89" s="76"/>
      <c r="Y89" s="76"/>
      <c r="Z89" s="77"/>
      <c r="AA89" s="69"/>
    </row>
    <row r="90" spans="1:27" hidden="1" x14ac:dyDescent="0.3">
      <c r="A90" s="83" t="s">
        <v>330</v>
      </c>
      <c r="B90" s="75"/>
      <c r="C90" s="80"/>
      <c r="D90" s="75"/>
      <c r="E90" s="76"/>
      <c r="F90" s="76"/>
      <c r="G90" s="76"/>
      <c r="H90" s="76"/>
      <c r="I90" s="77"/>
      <c r="J90" s="78"/>
      <c r="K90" s="80"/>
      <c r="L90" s="75"/>
      <c r="M90" s="76"/>
      <c r="N90" s="76"/>
      <c r="O90" s="76"/>
      <c r="P90" s="76"/>
      <c r="Q90" s="77"/>
      <c r="R90" s="69"/>
      <c r="S90" s="78"/>
      <c r="T90" s="80"/>
      <c r="U90" s="75"/>
      <c r="V90" s="76"/>
      <c r="W90" s="76"/>
      <c r="X90" s="76"/>
      <c r="Y90" s="76"/>
      <c r="Z90" s="77"/>
      <c r="AA90" s="69"/>
    </row>
    <row r="91" spans="1:27" x14ac:dyDescent="0.3">
      <c r="A91" s="83" t="s">
        <v>331</v>
      </c>
      <c r="B91" s="75">
        <f>+C91+D91</f>
        <v>6000</v>
      </c>
      <c r="C91" s="80">
        <v>6000</v>
      </c>
      <c r="D91" s="75">
        <f t="shared" ref="D91:D97" si="49">SUM(E91:I91)</f>
        <v>0</v>
      </c>
      <c r="E91" s="76"/>
      <c r="F91" s="76"/>
      <c r="G91" s="76"/>
      <c r="H91" s="76"/>
      <c r="I91" s="77"/>
      <c r="J91" s="78">
        <f>ROUND(B91*R91,0)</f>
        <v>6180</v>
      </c>
      <c r="K91" s="80">
        <f t="shared" ref="K91:K97" si="50">ROUND(C91/$B91*$J91,0)</f>
        <v>6180</v>
      </c>
      <c r="L91" s="75">
        <f>SUM(M91:Q91)</f>
        <v>0</v>
      </c>
      <c r="M91" s="76"/>
      <c r="N91" s="76"/>
      <c r="O91" s="76"/>
      <c r="P91" s="76"/>
      <c r="Q91" s="77"/>
      <c r="R91" s="69">
        <v>1.03</v>
      </c>
      <c r="S91" s="78">
        <f>ROUND(J91*AA91,0)</f>
        <v>6365</v>
      </c>
      <c r="T91" s="80">
        <f>ROUND(K91/$J91*$S91,0)</f>
        <v>6365</v>
      </c>
      <c r="U91" s="75">
        <f t="shared" ref="U91:U97" si="51">SUM(V91:Z91)</f>
        <v>0</v>
      </c>
      <c r="V91" s="76"/>
      <c r="W91" s="76"/>
      <c r="X91" s="76"/>
      <c r="Y91" s="76"/>
      <c r="Z91" s="77"/>
      <c r="AA91" s="69">
        <v>1.03</v>
      </c>
    </row>
    <row r="92" spans="1:27" x14ac:dyDescent="0.3">
      <c r="A92" s="83" t="s">
        <v>3</v>
      </c>
      <c r="B92" s="75">
        <f t="shared" ref="B92:B97" si="52">C92+D92</f>
        <v>1000</v>
      </c>
      <c r="C92" s="80">
        <v>1000</v>
      </c>
      <c r="D92" s="75">
        <f t="shared" si="49"/>
        <v>0</v>
      </c>
      <c r="E92" s="76" t="s">
        <v>316</v>
      </c>
      <c r="F92" s="76" t="s">
        <v>316</v>
      </c>
      <c r="G92" s="76" t="s">
        <v>316</v>
      </c>
      <c r="H92" s="76" t="s">
        <v>316</v>
      </c>
      <c r="I92" s="77" t="s">
        <v>316</v>
      </c>
      <c r="J92" s="78">
        <f>ROUND(B92*R92,0)</f>
        <v>1010</v>
      </c>
      <c r="K92" s="80">
        <f t="shared" si="50"/>
        <v>1010</v>
      </c>
      <c r="L92" s="75">
        <f t="shared" ref="L92:L97" si="53">SUM(M92:Q92)</f>
        <v>0</v>
      </c>
      <c r="M92" s="76" t="s">
        <v>316</v>
      </c>
      <c r="N92" s="76" t="s">
        <v>316</v>
      </c>
      <c r="O92" s="76" t="s">
        <v>316</v>
      </c>
      <c r="P92" s="76" t="s">
        <v>316</v>
      </c>
      <c r="Q92" s="77" t="s">
        <v>316</v>
      </c>
      <c r="R92" s="69">
        <v>1.01</v>
      </c>
      <c r="S92" s="78">
        <f>ROUND(J92*AA92,0)</f>
        <v>1212</v>
      </c>
      <c r="T92" s="80">
        <f>ROUND(K92/$J92*$S92,0)</f>
        <v>1212</v>
      </c>
      <c r="U92" s="75">
        <f t="shared" si="51"/>
        <v>0</v>
      </c>
      <c r="V92" s="76" t="s">
        <v>316</v>
      </c>
      <c r="W92" s="76" t="s">
        <v>316</v>
      </c>
      <c r="X92" s="76" t="s">
        <v>316</v>
      </c>
      <c r="Y92" s="76" t="s">
        <v>316</v>
      </c>
      <c r="Z92" s="77" t="s">
        <v>316</v>
      </c>
      <c r="AA92" s="69">
        <v>1.2</v>
      </c>
    </row>
    <row r="93" spans="1:27" x14ac:dyDescent="0.3">
      <c r="A93" s="83" t="s">
        <v>332</v>
      </c>
      <c r="B93" s="75">
        <f t="shared" si="52"/>
        <v>500</v>
      </c>
      <c r="C93" s="80">
        <v>500</v>
      </c>
      <c r="D93" s="75">
        <f t="shared" si="49"/>
        <v>0</v>
      </c>
      <c r="E93" s="76"/>
      <c r="F93" s="76"/>
      <c r="G93" s="76"/>
      <c r="H93" s="76"/>
      <c r="I93" s="77"/>
      <c r="J93" s="78">
        <f>ROUND(B93*R93,0)*0</f>
        <v>0</v>
      </c>
      <c r="K93" s="80">
        <f t="shared" si="50"/>
        <v>0</v>
      </c>
      <c r="L93" s="75">
        <f t="shared" si="53"/>
        <v>0</v>
      </c>
      <c r="M93" s="76"/>
      <c r="N93" s="76"/>
      <c r="O93" s="76"/>
      <c r="P93" s="76"/>
      <c r="Q93" s="77"/>
      <c r="R93" s="69">
        <v>1.01</v>
      </c>
      <c r="S93" s="78">
        <f>ROUND(J93*AA93,0)*0</f>
        <v>0</v>
      </c>
      <c r="T93" s="80">
        <f>ROUND(K93/$B93*$J93,0)</f>
        <v>0</v>
      </c>
      <c r="U93" s="75">
        <f t="shared" si="51"/>
        <v>0</v>
      </c>
      <c r="V93" s="76"/>
      <c r="W93" s="76"/>
      <c r="X93" s="76"/>
      <c r="Y93" s="76"/>
      <c r="Z93" s="77"/>
      <c r="AA93" s="69">
        <v>1.01</v>
      </c>
    </row>
    <row r="94" spans="1:27" x14ac:dyDescent="0.3">
      <c r="A94" s="83" t="s">
        <v>5</v>
      </c>
      <c r="B94" s="75">
        <f t="shared" si="52"/>
        <v>6000</v>
      </c>
      <c r="C94" s="80">
        <f>6000*35%</f>
        <v>2100</v>
      </c>
      <c r="D94" s="75">
        <f t="shared" si="49"/>
        <v>3900</v>
      </c>
      <c r="E94" s="80">
        <f>6000*25%</f>
        <v>1500</v>
      </c>
      <c r="F94" s="80">
        <f>6000*10%</f>
        <v>600</v>
      </c>
      <c r="G94" s="80">
        <f>6000*10%</f>
        <v>600</v>
      </c>
      <c r="H94" s="80">
        <f>6000*10%</f>
        <v>600</v>
      </c>
      <c r="I94" s="81">
        <f>6000*10%</f>
        <v>600</v>
      </c>
      <c r="J94" s="78">
        <f>ROUND(B94*R94,0)</f>
        <v>6060</v>
      </c>
      <c r="K94" s="80">
        <f t="shared" si="50"/>
        <v>2121</v>
      </c>
      <c r="L94" s="75">
        <f t="shared" si="53"/>
        <v>3939</v>
      </c>
      <c r="M94" s="80">
        <f>ROUND(E94/$B94*$J94,0)</f>
        <v>1515</v>
      </c>
      <c r="N94" s="80">
        <f>ROUND(F94/$B94*$J94,0)</f>
        <v>606</v>
      </c>
      <c r="O94" s="80">
        <f>ROUND(G94/$B94*$J94,0)</f>
        <v>606</v>
      </c>
      <c r="P94" s="80">
        <f>ROUND(H94/$B94*$J94,0)</f>
        <v>606</v>
      </c>
      <c r="Q94" s="80">
        <f>ROUND(I94/$B94*$J94,0)</f>
        <v>606</v>
      </c>
      <c r="R94" s="69">
        <v>1.01</v>
      </c>
      <c r="S94" s="78">
        <v>7600</v>
      </c>
      <c r="T94" s="80">
        <f>ROUND(K94/$J94*$S94,0)</f>
        <v>2660</v>
      </c>
      <c r="U94" s="75">
        <f t="shared" si="51"/>
        <v>4940</v>
      </c>
      <c r="V94" s="80">
        <f>ROUND(M94/$J94*$S94,0)</f>
        <v>1900</v>
      </c>
      <c r="W94" s="80">
        <f>ROUND(N94/$J94*$S94,0)</f>
        <v>760</v>
      </c>
      <c r="X94" s="80">
        <f>ROUND(O94/$J94*$S94,0)</f>
        <v>760</v>
      </c>
      <c r="Y94" s="80">
        <f>ROUND(P94/$J94*$S94,0)</f>
        <v>760</v>
      </c>
      <c r="Z94" s="80">
        <f>ROUND(Q94/$J94*$S94,0)</f>
        <v>760</v>
      </c>
      <c r="AA94" s="69">
        <v>1</v>
      </c>
    </row>
    <row r="95" spans="1:27" x14ac:dyDescent="0.3">
      <c r="A95" s="83" t="s">
        <v>333</v>
      </c>
      <c r="B95" s="75">
        <f t="shared" si="52"/>
        <v>6000</v>
      </c>
      <c r="C95" s="80">
        <v>6000</v>
      </c>
      <c r="D95" s="75">
        <f t="shared" si="49"/>
        <v>0</v>
      </c>
      <c r="E95" s="76"/>
      <c r="F95" s="76"/>
      <c r="G95" s="76"/>
      <c r="H95" s="76"/>
      <c r="I95" s="77"/>
      <c r="J95" s="78">
        <f>ROUND(B95*R95,0)</f>
        <v>6060</v>
      </c>
      <c r="K95" s="80">
        <f t="shared" si="50"/>
        <v>6060</v>
      </c>
      <c r="L95" s="75">
        <f t="shared" si="53"/>
        <v>0</v>
      </c>
      <c r="M95" s="76"/>
      <c r="N95" s="76"/>
      <c r="O95" s="76"/>
      <c r="P95" s="76"/>
      <c r="Q95" s="77"/>
      <c r="R95" s="69">
        <v>1.01</v>
      </c>
      <c r="S95" s="78">
        <f>ROUND(J95*AA95,0)</f>
        <v>6121</v>
      </c>
      <c r="T95" s="80">
        <f>ROUND(K95/$J95*$S95,0)</f>
        <v>6121</v>
      </c>
      <c r="U95" s="75">
        <f t="shared" si="51"/>
        <v>0</v>
      </c>
      <c r="V95" s="76"/>
      <c r="W95" s="76"/>
      <c r="X95" s="76"/>
      <c r="Y95" s="76"/>
      <c r="Z95" s="77"/>
      <c r="AA95" s="69">
        <v>1.01</v>
      </c>
    </row>
    <row r="96" spans="1:27" x14ac:dyDescent="0.3">
      <c r="A96" s="83" t="s">
        <v>334</v>
      </c>
      <c r="B96" s="75">
        <f t="shared" si="52"/>
        <v>10000</v>
      </c>
      <c r="C96" s="80">
        <v>10000</v>
      </c>
      <c r="D96" s="75">
        <f t="shared" si="49"/>
        <v>0</v>
      </c>
      <c r="E96" s="76"/>
      <c r="F96" s="76"/>
      <c r="G96" s="76"/>
      <c r="H96" s="76"/>
      <c r="I96" s="77"/>
      <c r="J96" s="78">
        <f>ROUND(B96*R96,0)</f>
        <v>10100</v>
      </c>
      <c r="K96" s="80">
        <f t="shared" si="50"/>
        <v>10100</v>
      </c>
      <c r="L96" s="75">
        <f>SUM(M96:Q96)</f>
        <v>0</v>
      </c>
      <c r="M96" s="76"/>
      <c r="N96" s="76"/>
      <c r="O96" s="76"/>
      <c r="P96" s="76"/>
      <c r="Q96" s="77"/>
      <c r="R96" s="69">
        <v>1.01</v>
      </c>
      <c r="S96" s="78">
        <f>ROUND(J96*AA96,0)/2</f>
        <v>5100.5</v>
      </c>
      <c r="T96" s="80">
        <f>ROUND(K96/$J96*$S96,0)</f>
        <v>5101</v>
      </c>
      <c r="U96" s="75">
        <f t="shared" si="51"/>
        <v>0</v>
      </c>
      <c r="V96" s="76"/>
      <c r="W96" s="76"/>
      <c r="X96" s="76"/>
      <c r="Y96" s="76"/>
      <c r="Z96" s="77"/>
      <c r="AA96" s="69">
        <v>1.01</v>
      </c>
    </row>
    <row r="97" spans="1:27" x14ac:dyDescent="0.3">
      <c r="A97" s="83" t="s">
        <v>335</v>
      </c>
      <c r="B97" s="75">
        <f t="shared" si="52"/>
        <v>10000</v>
      </c>
      <c r="C97" s="80">
        <v>10000</v>
      </c>
      <c r="D97" s="75">
        <f t="shared" si="49"/>
        <v>0</v>
      </c>
      <c r="E97" s="76"/>
      <c r="F97" s="76"/>
      <c r="G97" s="76"/>
      <c r="H97" s="76"/>
      <c r="I97" s="77"/>
      <c r="J97" s="78">
        <f>ROUND(B97*R97,0)</f>
        <v>10100</v>
      </c>
      <c r="K97" s="80">
        <f t="shared" si="50"/>
        <v>10100</v>
      </c>
      <c r="L97" s="75">
        <f t="shared" si="53"/>
        <v>0</v>
      </c>
      <c r="M97" s="76"/>
      <c r="N97" s="76"/>
      <c r="O97" s="76"/>
      <c r="P97" s="76"/>
      <c r="Q97" s="77"/>
      <c r="R97" s="69">
        <v>1.01</v>
      </c>
      <c r="S97" s="78">
        <f>ROUND(J97*AA97,0)</f>
        <v>10201</v>
      </c>
      <c r="T97" s="80">
        <f>ROUND(K97/$J97*$S97,0)</f>
        <v>10201</v>
      </c>
      <c r="U97" s="75">
        <f t="shared" si="51"/>
        <v>0</v>
      </c>
      <c r="V97" s="76"/>
      <c r="W97" s="76"/>
      <c r="X97" s="76"/>
      <c r="Y97" s="76"/>
      <c r="Z97" s="77"/>
      <c r="AA97" s="69">
        <v>1.01</v>
      </c>
    </row>
    <row r="98" spans="1:27" x14ac:dyDescent="0.3">
      <c r="A98" s="83" t="s">
        <v>336</v>
      </c>
      <c r="B98" s="75">
        <v>0</v>
      </c>
      <c r="C98" s="80"/>
      <c r="D98" s="75"/>
      <c r="E98" s="76"/>
      <c r="F98" s="76"/>
      <c r="G98" s="76"/>
      <c r="H98" s="76"/>
      <c r="I98" s="77"/>
      <c r="J98" s="78">
        <v>0</v>
      </c>
      <c r="K98" s="80"/>
      <c r="L98" s="75"/>
      <c r="M98" s="76"/>
      <c r="N98" s="76"/>
      <c r="O98" s="76"/>
      <c r="P98" s="76"/>
      <c r="Q98" s="77"/>
      <c r="R98" s="69"/>
      <c r="S98" s="78">
        <f>SUM(T98:U98)</f>
        <v>0</v>
      </c>
      <c r="T98" s="80">
        <v>0</v>
      </c>
      <c r="U98" s="75">
        <v>0</v>
      </c>
      <c r="V98" s="76"/>
      <c r="W98" s="76"/>
      <c r="X98" s="76"/>
      <c r="Y98" s="76"/>
      <c r="Z98" s="77"/>
      <c r="AA98" s="69">
        <v>1</v>
      </c>
    </row>
    <row r="99" spans="1:27" x14ac:dyDescent="0.3">
      <c r="A99" s="71" t="s">
        <v>17</v>
      </c>
      <c r="B99" s="72">
        <f t="shared" ref="B99:Q99" si="54">SUM(B100:B100)</f>
        <v>15000</v>
      </c>
      <c r="C99" s="72">
        <f t="shared" si="54"/>
        <v>15000</v>
      </c>
      <c r="D99" s="72">
        <f t="shared" si="54"/>
        <v>0</v>
      </c>
      <c r="E99" s="72">
        <f t="shared" si="54"/>
        <v>0</v>
      </c>
      <c r="F99" s="72">
        <f t="shared" si="54"/>
        <v>0</v>
      </c>
      <c r="G99" s="72">
        <f t="shared" si="54"/>
        <v>0</v>
      </c>
      <c r="H99" s="72">
        <f t="shared" si="54"/>
        <v>0</v>
      </c>
      <c r="I99" s="73">
        <f t="shared" si="54"/>
        <v>0</v>
      </c>
      <c r="J99" s="72">
        <f>J100</f>
        <v>15150</v>
      </c>
      <c r="K99" s="72">
        <f>K100</f>
        <v>15150</v>
      </c>
      <c r="L99" s="72">
        <f t="shared" si="54"/>
        <v>0</v>
      </c>
      <c r="M99" s="72">
        <f t="shared" si="54"/>
        <v>0</v>
      </c>
      <c r="N99" s="72">
        <f t="shared" si="54"/>
        <v>0</v>
      </c>
      <c r="O99" s="72">
        <f t="shared" si="54"/>
        <v>0</v>
      </c>
      <c r="P99" s="72">
        <f t="shared" si="54"/>
        <v>0</v>
      </c>
      <c r="Q99" s="73">
        <f t="shared" si="54"/>
        <v>0</v>
      </c>
      <c r="R99" s="72"/>
      <c r="S99" s="72">
        <f>S100</f>
        <v>12500</v>
      </c>
      <c r="T99" s="72">
        <f>T100</f>
        <v>12500</v>
      </c>
      <c r="U99" s="72">
        <f t="shared" ref="U99:Z99" si="55">SUM(U100:U100)</f>
        <v>0</v>
      </c>
      <c r="V99" s="72">
        <f t="shared" si="55"/>
        <v>0</v>
      </c>
      <c r="W99" s="72">
        <f t="shared" si="55"/>
        <v>0</v>
      </c>
      <c r="X99" s="72">
        <f t="shared" si="55"/>
        <v>0</v>
      </c>
      <c r="Y99" s="72">
        <f t="shared" si="55"/>
        <v>0</v>
      </c>
      <c r="Z99" s="73">
        <f t="shared" si="55"/>
        <v>0</v>
      </c>
      <c r="AA99" s="72"/>
    </row>
    <row r="100" spans="1:27" x14ac:dyDescent="0.3">
      <c r="A100" s="79" t="s">
        <v>337</v>
      </c>
      <c r="B100" s="75">
        <f>C100+D100</f>
        <v>15000</v>
      </c>
      <c r="C100" s="80">
        <v>15000</v>
      </c>
      <c r="D100" s="75">
        <f>SUM(E100:I100)</f>
        <v>0</v>
      </c>
      <c r="E100" s="80"/>
      <c r="F100" s="80"/>
      <c r="G100" s="80"/>
      <c r="H100" s="80"/>
      <c r="I100" s="81"/>
      <c r="J100" s="78">
        <f>ROUND(B100*R100,0)</f>
        <v>15150</v>
      </c>
      <c r="K100" s="80">
        <f>ROUND(C100/$B100*$J100,0)</f>
        <v>15150</v>
      </c>
      <c r="L100" s="75">
        <f>SUM(M100:Q100)</f>
        <v>0</v>
      </c>
      <c r="M100" s="80"/>
      <c r="N100" s="80"/>
      <c r="O100" s="80"/>
      <c r="P100" s="80"/>
      <c r="Q100" s="81"/>
      <c r="R100" s="69">
        <v>1.01</v>
      </c>
      <c r="S100" s="78">
        <f>SUM(T100:U100)</f>
        <v>12500</v>
      </c>
      <c r="T100" s="80">
        <v>12500</v>
      </c>
      <c r="U100" s="75">
        <f>SUM(V100:Z100)</f>
        <v>0</v>
      </c>
      <c r="V100" s="80"/>
      <c r="W100" s="80"/>
      <c r="X100" s="80"/>
      <c r="Y100" s="80"/>
      <c r="Z100" s="81"/>
      <c r="AA100" s="69">
        <v>1</v>
      </c>
    </row>
    <row r="101" spans="1:27" x14ac:dyDescent="0.3">
      <c r="A101" s="71" t="s">
        <v>28</v>
      </c>
      <c r="B101" s="72">
        <f>SUM(B102:B103)</f>
        <v>0</v>
      </c>
      <c r="C101" s="72">
        <f t="shared" ref="C101:I101" si="56">SUM(C102:C103)</f>
        <v>0</v>
      </c>
      <c r="D101" s="72">
        <f t="shared" si="56"/>
        <v>0</v>
      </c>
      <c r="E101" s="72">
        <f t="shared" si="56"/>
        <v>0</v>
      </c>
      <c r="F101" s="72">
        <f t="shared" si="56"/>
        <v>0</v>
      </c>
      <c r="G101" s="72">
        <f t="shared" si="56"/>
        <v>0</v>
      </c>
      <c r="H101" s="72">
        <f t="shared" si="56"/>
        <v>0</v>
      </c>
      <c r="I101" s="73">
        <f t="shared" si="56"/>
        <v>0</v>
      </c>
      <c r="J101" s="72">
        <f>SUM(J102:J104)</f>
        <v>0</v>
      </c>
      <c r="K101" s="72">
        <f t="shared" ref="K101:Q101" si="57">SUM(K102:K103)</f>
        <v>0</v>
      </c>
      <c r="L101" s="72">
        <f t="shared" si="57"/>
        <v>0</v>
      </c>
      <c r="M101" s="72">
        <f t="shared" si="57"/>
        <v>0</v>
      </c>
      <c r="N101" s="72">
        <f t="shared" si="57"/>
        <v>0</v>
      </c>
      <c r="O101" s="72">
        <f t="shared" si="57"/>
        <v>0</v>
      </c>
      <c r="P101" s="72">
        <f t="shared" si="57"/>
        <v>0</v>
      </c>
      <c r="Q101" s="73">
        <f t="shared" si="57"/>
        <v>0</v>
      </c>
      <c r="R101" s="72"/>
      <c r="S101" s="72">
        <f>SUM(S102:S104)</f>
        <v>0</v>
      </c>
      <c r="T101" s="72">
        <f t="shared" ref="T101:Z101" si="58">SUM(T102:T103)</f>
        <v>0</v>
      </c>
      <c r="U101" s="72">
        <f t="shared" si="58"/>
        <v>0</v>
      </c>
      <c r="V101" s="72">
        <f t="shared" si="58"/>
        <v>0</v>
      </c>
      <c r="W101" s="72">
        <f t="shared" si="58"/>
        <v>0</v>
      </c>
      <c r="X101" s="72">
        <f t="shared" si="58"/>
        <v>0</v>
      </c>
      <c r="Y101" s="72">
        <f t="shared" si="58"/>
        <v>0</v>
      </c>
      <c r="Z101" s="73">
        <f t="shared" si="58"/>
        <v>0</v>
      </c>
      <c r="AA101" s="72"/>
    </row>
    <row r="102" spans="1:27" x14ac:dyDescent="0.3">
      <c r="A102" s="83" t="s">
        <v>338</v>
      </c>
      <c r="B102" s="75">
        <f>C102+D102</f>
        <v>0</v>
      </c>
      <c r="C102" s="80">
        <v>0</v>
      </c>
      <c r="D102" s="75">
        <f>SUM(E102:I102)</f>
        <v>0</v>
      </c>
      <c r="E102" s="80"/>
      <c r="F102" s="80"/>
      <c r="G102" s="80"/>
      <c r="H102" s="80"/>
      <c r="I102" s="81"/>
      <c r="J102" s="78">
        <f>B102*R102</f>
        <v>0</v>
      </c>
      <c r="K102" s="80">
        <v>0</v>
      </c>
      <c r="L102" s="75">
        <f>SUM(M102:Q102)</f>
        <v>0</v>
      </c>
      <c r="M102" s="80"/>
      <c r="N102" s="80"/>
      <c r="O102" s="80"/>
      <c r="P102" s="80"/>
      <c r="Q102" s="81"/>
      <c r="R102" s="69">
        <v>1.01</v>
      </c>
      <c r="S102" s="78">
        <f>J102*AA102</f>
        <v>0</v>
      </c>
      <c r="T102" s="80">
        <v>0</v>
      </c>
      <c r="U102" s="75">
        <f>SUM(V102:Z102)</f>
        <v>0</v>
      </c>
      <c r="V102" s="80"/>
      <c r="W102" s="80"/>
      <c r="X102" s="80"/>
      <c r="Y102" s="80"/>
      <c r="Z102" s="81"/>
      <c r="AA102" s="69">
        <v>1.01</v>
      </c>
    </row>
    <row r="103" spans="1:27" x14ac:dyDescent="0.3">
      <c r="A103" s="83" t="s">
        <v>339</v>
      </c>
      <c r="B103" s="75">
        <f>C103+D103</f>
        <v>0</v>
      </c>
      <c r="C103" s="80">
        <v>0</v>
      </c>
      <c r="D103" s="75">
        <f>SUM(E103:I103)</f>
        <v>0</v>
      </c>
      <c r="E103" s="80"/>
      <c r="F103" s="80"/>
      <c r="G103" s="80"/>
      <c r="H103" s="80"/>
      <c r="I103" s="81"/>
      <c r="J103" s="78">
        <f>B103*R103</f>
        <v>0</v>
      </c>
      <c r="K103" s="80">
        <v>0</v>
      </c>
      <c r="L103" s="75">
        <f>SUM(M103:Q103)</f>
        <v>0</v>
      </c>
      <c r="M103" s="80"/>
      <c r="N103" s="80"/>
      <c r="O103" s="80"/>
      <c r="P103" s="80"/>
      <c r="Q103" s="81"/>
      <c r="R103" s="69">
        <v>1.01</v>
      </c>
      <c r="S103" s="78">
        <f>J103*AA103</f>
        <v>0</v>
      </c>
      <c r="T103" s="80">
        <v>0</v>
      </c>
      <c r="U103" s="75">
        <f>SUM(V103:Z103)</f>
        <v>0</v>
      </c>
      <c r="V103" s="80"/>
      <c r="W103" s="80"/>
      <c r="X103" s="80"/>
      <c r="Y103" s="80"/>
      <c r="Z103" s="81"/>
      <c r="AA103" s="69">
        <v>1.01</v>
      </c>
    </row>
    <row r="104" spans="1:27" x14ac:dyDescent="0.3">
      <c r="A104" s="83" t="s">
        <v>340</v>
      </c>
      <c r="B104" s="75">
        <f>C104+D104</f>
        <v>0</v>
      </c>
      <c r="C104" s="80">
        <v>0</v>
      </c>
      <c r="D104" s="75">
        <f>SUM(E104:I104)</f>
        <v>0</v>
      </c>
      <c r="E104" s="80"/>
      <c r="F104" s="80"/>
      <c r="G104" s="80"/>
      <c r="H104" s="80"/>
      <c r="I104" s="81"/>
      <c r="J104" s="78">
        <f>B104*R104</f>
        <v>0</v>
      </c>
      <c r="K104" s="80">
        <v>0</v>
      </c>
      <c r="L104" s="75">
        <f>SUM(M104:Q104)</f>
        <v>0</v>
      </c>
      <c r="M104" s="80"/>
      <c r="N104" s="80"/>
      <c r="O104" s="80"/>
      <c r="P104" s="80"/>
      <c r="Q104" s="81"/>
      <c r="R104" s="69">
        <v>1.01</v>
      </c>
      <c r="S104" s="78">
        <f>J104*AA104</f>
        <v>0</v>
      </c>
      <c r="T104" s="80">
        <v>0</v>
      </c>
      <c r="U104" s="75">
        <f>SUM(V104:Z104)</f>
        <v>0</v>
      </c>
      <c r="V104" s="80"/>
      <c r="W104" s="80"/>
      <c r="X104" s="80"/>
      <c r="Y104" s="80"/>
      <c r="Z104" s="81"/>
      <c r="AA104" s="69">
        <v>1.01</v>
      </c>
    </row>
    <row r="105" spans="1:27" x14ac:dyDescent="0.3">
      <c r="A105" s="71" t="s">
        <v>32</v>
      </c>
      <c r="B105" s="72">
        <f>SUM(B106:B108)</f>
        <v>22800</v>
      </c>
      <c r="C105" s="72">
        <f t="shared" ref="C105:I105" si="59">SUM(C106:C108)</f>
        <v>21300</v>
      </c>
      <c r="D105" s="72">
        <f t="shared" si="59"/>
        <v>1500</v>
      </c>
      <c r="E105" s="72">
        <f t="shared" si="59"/>
        <v>0</v>
      </c>
      <c r="F105" s="72">
        <f t="shared" si="59"/>
        <v>0</v>
      </c>
      <c r="G105" s="72">
        <f t="shared" si="59"/>
        <v>0</v>
      </c>
      <c r="H105" s="72">
        <f t="shared" si="59"/>
        <v>1500</v>
      </c>
      <c r="I105" s="73">
        <f t="shared" si="59"/>
        <v>0</v>
      </c>
      <c r="J105" s="72">
        <f>SUM(J106:J108)</f>
        <v>23028</v>
      </c>
      <c r="K105" s="72">
        <f>SUM(K106:K108)</f>
        <v>21513</v>
      </c>
      <c r="L105" s="72">
        <f t="shared" ref="L105:Q105" si="60">SUM(L106:L108)</f>
        <v>1515</v>
      </c>
      <c r="M105" s="72">
        <f t="shared" si="60"/>
        <v>0</v>
      </c>
      <c r="N105" s="72">
        <f t="shared" si="60"/>
        <v>0</v>
      </c>
      <c r="O105" s="72">
        <f t="shared" si="60"/>
        <v>0</v>
      </c>
      <c r="P105" s="72">
        <f t="shared" si="60"/>
        <v>1515</v>
      </c>
      <c r="Q105" s="73">
        <f t="shared" si="60"/>
        <v>0</v>
      </c>
      <c r="R105" s="72"/>
      <c r="S105" s="72">
        <f>SUM(S106:S108)</f>
        <v>37306</v>
      </c>
      <c r="T105" s="72">
        <f>SUM(T106:T108)</f>
        <v>37306</v>
      </c>
      <c r="U105" s="72">
        <f t="shared" ref="U105:Z105" si="61">SUM(U106:U108)</f>
        <v>0</v>
      </c>
      <c r="V105" s="72">
        <f t="shared" si="61"/>
        <v>0</v>
      </c>
      <c r="W105" s="72">
        <f t="shared" si="61"/>
        <v>0</v>
      </c>
      <c r="X105" s="72">
        <f t="shared" si="61"/>
        <v>0</v>
      </c>
      <c r="Y105" s="72">
        <f t="shared" si="61"/>
        <v>0</v>
      </c>
      <c r="Z105" s="73">
        <f t="shared" si="61"/>
        <v>0</v>
      </c>
      <c r="AA105" s="72"/>
    </row>
    <row r="106" spans="1:27" x14ac:dyDescent="0.3">
      <c r="A106" s="79" t="s">
        <v>341</v>
      </c>
      <c r="B106" s="75">
        <f>C106+D106</f>
        <v>12700</v>
      </c>
      <c r="C106" s="80">
        <v>11200</v>
      </c>
      <c r="D106" s="75">
        <f>SUM(E106:I106)</f>
        <v>1500</v>
      </c>
      <c r="E106" s="80">
        <v>0</v>
      </c>
      <c r="F106" s="80">
        <v>0</v>
      </c>
      <c r="G106" s="80">
        <v>0</v>
      </c>
      <c r="H106" s="80">
        <v>1500</v>
      </c>
      <c r="I106" s="81">
        <v>0</v>
      </c>
      <c r="J106" s="78">
        <f>ROUND(B106*R106,0)</f>
        <v>12827</v>
      </c>
      <c r="K106" s="80">
        <f>ROUND(C106/$B106*$J106,0)</f>
        <v>11312</v>
      </c>
      <c r="L106" s="75">
        <f>SUM(M106:Q106)</f>
        <v>1515</v>
      </c>
      <c r="M106" s="80">
        <f>ROUND(E106/$B106*$J106,0)</f>
        <v>0</v>
      </c>
      <c r="N106" s="80">
        <f>ROUND(F106/$B106*$J106,0)</f>
        <v>0</v>
      </c>
      <c r="O106" s="80">
        <f>ROUND(G106/$B106*$J106,0)</f>
        <v>0</v>
      </c>
      <c r="P106" s="80">
        <f>ROUND(H106/$B106*$J106,0)</f>
        <v>1515</v>
      </c>
      <c r="Q106" s="80">
        <f>ROUND(I106/$B106*$J106,0)</f>
        <v>0</v>
      </c>
      <c r="R106" s="69">
        <v>1.01</v>
      </c>
      <c r="S106" s="78">
        <f>SUM(T106:U106)</f>
        <v>23000</v>
      </c>
      <c r="T106" s="80">
        <v>23000</v>
      </c>
      <c r="U106" s="75">
        <f>SUM(V106:Z106)</f>
        <v>0</v>
      </c>
      <c r="V106" s="80">
        <f>ROUND(M106/$B106*$J106,0)</f>
        <v>0</v>
      </c>
      <c r="W106" s="80">
        <f>ROUND(N106/$B106*$J106,0)</f>
        <v>0</v>
      </c>
      <c r="X106" s="80">
        <f>ROUND(O106/$B106*$J106,0)</f>
        <v>0</v>
      </c>
      <c r="Y106" s="80">
        <v>0</v>
      </c>
      <c r="Z106" s="80">
        <f>ROUND(Q106/$B106*$J106,0)</f>
        <v>0</v>
      </c>
      <c r="AA106" s="69">
        <v>1</v>
      </c>
    </row>
    <row r="107" spans="1:27" x14ac:dyDescent="0.3">
      <c r="A107" s="79" t="s">
        <v>342</v>
      </c>
      <c r="B107" s="75">
        <f>C107+D107</f>
        <v>300</v>
      </c>
      <c r="C107" s="80">
        <v>300</v>
      </c>
      <c r="D107" s="75">
        <f>SUM(E107:I107)</f>
        <v>0</v>
      </c>
      <c r="E107" s="80"/>
      <c r="F107" s="80"/>
      <c r="G107" s="80"/>
      <c r="H107" s="80"/>
      <c r="I107" s="81"/>
      <c r="J107" s="78">
        <f>ROUND(B107*R107,0)</f>
        <v>303</v>
      </c>
      <c r="K107" s="80">
        <f>ROUND(C107/$B107*$J107,0)</f>
        <v>303</v>
      </c>
      <c r="L107" s="75">
        <f>SUM(M107:Q107)</f>
        <v>0</v>
      </c>
      <c r="M107" s="80"/>
      <c r="N107" s="80"/>
      <c r="O107" s="80"/>
      <c r="P107" s="80"/>
      <c r="Q107" s="81"/>
      <c r="R107" s="69">
        <v>1.01</v>
      </c>
      <c r="S107" s="78">
        <f>ROUND(J107*AA107,0)</f>
        <v>306</v>
      </c>
      <c r="T107" s="80">
        <f>ROUND(K107/$J107*$S107,0)</f>
        <v>306</v>
      </c>
      <c r="U107" s="75">
        <f>SUM(V107:Z107)</f>
        <v>0</v>
      </c>
      <c r="V107" s="80"/>
      <c r="W107" s="80"/>
      <c r="X107" s="80"/>
      <c r="Y107" s="80"/>
      <c r="Z107" s="81"/>
      <c r="AA107" s="69">
        <v>1.01</v>
      </c>
    </row>
    <row r="108" spans="1:27" x14ac:dyDescent="0.3">
      <c r="A108" s="79" t="s">
        <v>343</v>
      </c>
      <c r="B108" s="75">
        <f>+C108+D108</f>
        <v>9800</v>
      </c>
      <c r="C108" s="80">
        <v>9800</v>
      </c>
      <c r="D108" s="75">
        <f>SUM(E108:I108)</f>
        <v>0</v>
      </c>
      <c r="E108" s="80"/>
      <c r="F108" s="80"/>
      <c r="G108" s="80"/>
      <c r="H108" s="80"/>
      <c r="I108" s="81"/>
      <c r="J108" s="78">
        <f>ROUND(B108*R108,0)</f>
        <v>9898</v>
      </c>
      <c r="K108" s="80">
        <f>ROUND(C108/$B108*$J108,0)</f>
        <v>9898</v>
      </c>
      <c r="L108" s="75">
        <f>SUM(M108:Q108)</f>
        <v>0</v>
      </c>
      <c r="M108" s="80"/>
      <c r="N108" s="80"/>
      <c r="O108" s="80"/>
      <c r="P108" s="80"/>
      <c r="Q108" s="81"/>
      <c r="R108" s="69">
        <v>1.01</v>
      </c>
      <c r="S108" s="78">
        <f>SUM(T108:U108)</f>
        <v>14000</v>
      </c>
      <c r="T108" s="80">
        <v>14000</v>
      </c>
      <c r="U108" s="75">
        <f>SUM(V108:Z108)</f>
        <v>0</v>
      </c>
      <c r="V108" s="80"/>
      <c r="W108" s="80"/>
      <c r="X108" s="80"/>
      <c r="Y108" s="80"/>
      <c r="Z108" s="81"/>
      <c r="AA108" s="69">
        <v>1</v>
      </c>
    </row>
    <row r="109" spans="1:27" x14ac:dyDescent="0.3">
      <c r="A109" s="71" t="s">
        <v>344</v>
      </c>
      <c r="B109" s="72">
        <f>SUM(B110:B112)</f>
        <v>650</v>
      </c>
      <c r="C109" s="72">
        <f t="shared" ref="C109:I109" si="62">SUM(C110:C112)</f>
        <v>650</v>
      </c>
      <c r="D109" s="72">
        <f t="shared" si="62"/>
        <v>0</v>
      </c>
      <c r="E109" s="72">
        <f t="shared" si="62"/>
        <v>0</v>
      </c>
      <c r="F109" s="72">
        <f t="shared" si="62"/>
        <v>0</v>
      </c>
      <c r="G109" s="72">
        <f t="shared" si="62"/>
        <v>0</v>
      </c>
      <c r="H109" s="72">
        <f t="shared" si="62"/>
        <v>0</v>
      </c>
      <c r="I109" s="73">
        <f t="shared" si="62"/>
        <v>0</v>
      </c>
      <c r="J109" s="72">
        <f>SUM(J110:J112)</f>
        <v>2657</v>
      </c>
      <c r="K109" s="72">
        <f>SUM(K110:K112)</f>
        <v>2657</v>
      </c>
      <c r="L109" s="72">
        <f t="shared" ref="L109:Q109" si="63">SUM(L110:L112)</f>
        <v>0</v>
      </c>
      <c r="M109" s="72">
        <f t="shared" si="63"/>
        <v>0</v>
      </c>
      <c r="N109" s="72">
        <f t="shared" si="63"/>
        <v>0</v>
      </c>
      <c r="O109" s="72">
        <f t="shared" si="63"/>
        <v>0</v>
      </c>
      <c r="P109" s="72">
        <f t="shared" si="63"/>
        <v>0</v>
      </c>
      <c r="Q109" s="73">
        <f t="shared" si="63"/>
        <v>0</v>
      </c>
      <c r="R109" s="72"/>
      <c r="S109" s="72">
        <f>SUM(S110:S112)</f>
        <v>2664</v>
      </c>
      <c r="T109" s="72">
        <f>SUM(T110:T112)</f>
        <v>2664</v>
      </c>
      <c r="U109" s="72">
        <f t="shared" ref="U109:Z109" si="64">SUM(U110:U112)</f>
        <v>0</v>
      </c>
      <c r="V109" s="72">
        <f t="shared" si="64"/>
        <v>0</v>
      </c>
      <c r="W109" s="72">
        <f t="shared" si="64"/>
        <v>0</v>
      </c>
      <c r="X109" s="72">
        <f t="shared" si="64"/>
        <v>0</v>
      </c>
      <c r="Y109" s="72">
        <f t="shared" si="64"/>
        <v>0</v>
      </c>
      <c r="Z109" s="73">
        <f t="shared" si="64"/>
        <v>0</v>
      </c>
      <c r="AA109" s="72"/>
    </row>
    <row r="110" spans="1:27" x14ac:dyDescent="0.3">
      <c r="A110" s="95" t="s">
        <v>345</v>
      </c>
      <c r="B110" s="75">
        <f>C110+D110</f>
        <v>650</v>
      </c>
      <c r="C110" s="80">
        <v>650</v>
      </c>
      <c r="D110" s="75">
        <f>SUM(E110:I110)</f>
        <v>0</v>
      </c>
      <c r="E110" s="80"/>
      <c r="F110" s="80"/>
      <c r="G110" s="80"/>
      <c r="H110" s="80"/>
      <c r="I110" s="81"/>
      <c r="J110" s="78">
        <f>ROUND(B110*R110,0)</f>
        <v>657</v>
      </c>
      <c r="K110" s="80">
        <f>ROUND(C110/$B110*$J110,0)</f>
        <v>657</v>
      </c>
      <c r="L110" s="75">
        <f>SUM(M110:Q110)</f>
        <v>0</v>
      </c>
      <c r="M110" s="80"/>
      <c r="N110" s="80"/>
      <c r="O110" s="80"/>
      <c r="P110" s="80"/>
      <c r="Q110" s="81"/>
      <c r="R110" s="69">
        <v>1.01</v>
      </c>
      <c r="S110" s="78">
        <f>ROUND(J110*AA110,0)</f>
        <v>664</v>
      </c>
      <c r="T110" s="80">
        <f>ROUND(K110/$J110*$S110,0)</f>
        <v>664</v>
      </c>
      <c r="U110" s="75">
        <f>SUM(V110:Z110)</f>
        <v>0</v>
      </c>
      <c r="V110" s="80"/>
      <c r="W110" s="80"/>
      <c r="X110" s="80"/>
      <c r="Y110" s="80"/>
      <c r="Z110" s="81"/>
      <c r="AA110" s="69">
        <v>1.01</v>
      </c>
    </row>
    <row r="111" spans="1:27" x14ac:dyDescent="0.3">
      <c r="A111" s="95" t="s">
        <v>346</v>
      </c>
      <c r="B111" s="75">
        <v>0</v>
      </c>
      <c r="C111" s="80"/>
      <c r="D111" s="75"/>
      <c r="E111" s="80"/>
      <c r="F111" s="80"/>
      <c r="G111" s="80"/>
      <c r="H111" s="80"/>
      <c r="I111" s="81"/>
      <c r="J111" s="78">
        <v>2000</v>
      </c>
      <c r="K111" s="80">
        <v>2000</v>
      </c>
      <c r="L111" s="75">
        <v>0</v>
      </c>
      <c r="M111" s="80"/>
      <c r="N111" s="80"/>
      <c r="O111" s="80"/>
      <c r="P111" s="80"/>
      <c r="Q111" s="81"/>
      <c r="R111" s="69">
        <v>0</v>
      </c>
      <c r="S111" s="78">
        <v>2000</v>
      </c>
      <c r="T111" s="80">
        <f>ROUND(K111/$J111*$S111,0)</f>
        <v>2000</v>
      </c>
      <c r="U111" s="75">
        <v>0</v>
      </c>
      <c r="V111" s="80"/>
      <c r="W111" s="80"/>
      <c r="X111" s="80"/>
      <c r="Y111" s="80"/>
      <c r="Z111" s="81"/>
      <c r="AA111" s="69">
        <v>1</v>
      </c>
    </row>
    <row r="112" spans="1:27" x14ac:dyDescent="0.3">
      <c r="A112" s="95" t="s">
        <v>40</v>
      </c>
      <c r="B112" s="75">
        <f>C112+D112</f>
        <v>0</v>
      </c>
      <c r="C112" s="80">
        <v>0</v>
      </c>
      <c r="D112" s="75">
        <f>SUM(E112:I112)</f>
        <v>0</v>
      </c>
      <c r="E112" s="80"/>
      <c r="F112" s="80"/>
      <c r="G112" s="80"/>
      <c r="H112" s="80"/>
      <c r="I112" s="81"/>
      <c r="J112" s="78">
        <f>ROUND(B112*R112,0)</f>
        <v>0</v>
      </c>
      <c r="K112" s="80">
        <v>0</v>
      </c>
      <c r="L112" s="75">
        <f>SUM(M112:Q112)</f>
        <v>0</v>
      </c>
      <c r="M112" s="80"/>
      <c r="N112" s="80"/>
      <c r="O112" s="80"/>
      <c r="P112" s="80"/>
      <c r="Q112" s="81"/>
      <c r="R112" s="69">
        <v>1.01</v>
      </c>
      <c r="S112" s="78">
        <f>ROUND(J112*AA112,0)</f>
        <v>0</v>
      </c>
      <c r="T112" s="80">
        <v>0</v>
      </c>
      <c r="U112" s="75">
        <f>SUM(V112:Z112)</f>
        <v>0</v>
      </c>
      <c r="V112" s="80"/>
      <c r="W112" s="80"/>
      <c r="X112" s="80"/>
      <c r="Y112" s="80"/>
      <c r="Z112" s="81"/>
      <c r="AA112" s="69">
        <v>1</v>
      </c>
    </row>
    <row r="113" spans="1:27" x14ac:dyDescent="0.3">
      <c r="A113" s="97"/>
      <c r="B113" s="75"/>
      <c r="C113" s="76"/>
      <c r="D113" s="75"/>
      <c r="E113" s="76"/>
      <c r="F113" s="76"/>
      <c r="G113" s="76"/>
      <c r="H113" s="76"/>
      <c r="I113" s="77"/>
      <c r="J113" s="78"/>
      <c r="K113" s="76"/>
      <c r="L113" s="75"/>
      <c r="M113" s="76"/>
      <c r="N113" s="76"/>
      <c r="O113" s="76"/>
      <c r="P113" s="76"/>
      <c r="Q113" s="77"/>
      <c r="R113" s="69"/>
      <c r="S113" s="78"/>
      <c r="T113" s="76"/>
      <c r="U113" s="75"/>
      <c r="V113" s="76"/>
      <c r="W113" s="76"/>
      <c r="X113" s="76"/>
      <c r="Y113" s="76"/>
      <c r="Z113" s="77"/>
      <c r="AA113" s="69"/>
    </row>
    <row r="114" spans="1:27" x14ac:dyDescent="0.3">
      <c r="A114" s="98" t="s">
        <v>42</v>
      </c>
      <c r="B114" s="99">
        <f t="shared" ref="B114:Q114" si="65">+B109+B101+B69+B59+B38+B21+B5+B32+B84+B82+B43+B99+B3+B105</f>
        <v>2965148.8</v>
      </c>
      <c r="C114" s="99">
        <f t="shared" si="65"/>
        <v>1435280</v>
      </c>
      <c r="D114" s="99">
        <f t="shared" si="65"/>
        <v>1296146.8</v>
      </c>
      <c r="E114" s="99">
        <f t="shared" si="65"/>
        <v>492185</v>
      </c>
      <c r="F114" s="99">
        <f t="shared" si="65"/>
        <v>245574.8</v>
      </c>
      <c r="G114" s="99">
        <f t="shared" si="65"/>
        <v>187740</v>
      </c>
      <c r="H114" s="99">
        <f t="shared" si="65"/>
        <v>137442</v>
      </c>
      <c r="I114" s="100">
        <f t="shared" si="65"/>
        <v>233205</v>
      </c>
      <c r="J114" s="99">
        <f t="shared" si="65"/>
        <v>3475783</v>
      </c>
      <c r="K114" s="99">
        <f t="shared" si="65"/>
        <v>2154190</v>
      </c>
      <c r="L114" s="99">
        <f t="shared" si="65"/>
        <v>1321593</v>
      </c>
      <c r="M114" s="99">
        <f t="shared" si="65"/>
        <v>493393</v>
      </c>
      <c r="N114" s="99">
        <f t="shared" si="65"/>
        <v>255710</v>
      </c>
      <c r="O114" s="99">
        <f t="shared" si="65"/>
        <v>194214</v>
      </c>
      <c r="P114" s="99">
        <f t="shared" si="65"/>
        <v>139866</v>
      </c>
      <c r="Q114" s="100">
        <f t="shared" si="65"/>
        <v>238410</v>
      </c>
      <c r="R114" s="99"/>
      <c r="S114" s="99">
        <f t="shared" ref="S114:Z114" si="66">+S109+S101+S69+S59+S38+S21+S5+S32+S84+S82+S43+S99+S3+S105</f>
        <v>3177119.9</v>
      </c>
      <c r="T114" s="99">
        <f t="shared" si="66"/>
        <v>1657671</v>
      </c>
      <c r="U114" s="99">
        <f t="shared" si="66"/>
        <v>1519449.4</v>
      </c>
      <c r="V114" s="99">
        <f t="shared" si="66"/>
        <v>549794</v>
      </c>
      <c r="W114" s="99">
        <f t="shared" si="66"/>
        <v>276248.40000000002</v>
      </c>
      <c r="X114" s="99">
        <f t="shared" si="66"/>
        <v>210132</v>
      </c>
      <c r="Y114" s="99">
        <f t="shared" si="66"/>
        <v>179909</v>
      </c>
      <c r="Z114" s="100">
        <f t="shared" si="66"/>
        <v>303366</v>
      </c>
      <c r="AA114" s="99"/>
    </row>
    <row r="115" spans="1:27" x14ac:dyDescent="0.3">
      <c r="A115" s="101"/>
      <c r="B115" s="75"/>
      <c r="C115" s="76"/>
      <c r="D115" s="75"/>
      <c r="E115" s="76"/>
      <c r="F115" s="76"/>
      <c r="G115" s="76"/>
      <c r="H115" s="76"/>
      <c r="I115" s="77"/>
      <c r="J115" s="78"/>
      <c r="K115" s="76"/>
      <c r="L115" s="75"/>
      <c r="M115" s="76"/>
      <c r="N115" s="76"/>
      <c r="O115" s="76"/>
      <c r="P115" s="76"/>
      <c r="Q115" s="77"/>
      <c r="R115" s="69"/>
      <c r="S115" s="78"/>
      <c r="T115" s="76"/>
      <c r="U115" s="75"/>
      <c r="V115" s="76"/>
      <c r="W115" s="76"/>
      <c r="X115" s="76"/>
      <c r="Y115" s="76"/>
      <c r="Z115" s="77"/>
      <c r="AA115" s="69"/>
    </row>
    <row r="116" spans="1:27" x14ac:dyDescent="0.3">
      <c r="A116" s="71" t="s">
        <v>347</v>
      </c>
      <c r="B116" s="72">
        <f>+W139</f>
        <v>2629110</v>
      </c>
      <c r="C116" s="72">
        <f>SUM(D116:H116)</f>
        <v>0</v>
      </c>
      <c r="D116" s="72">
        <f>SUM(E116:I116)</f>
        <v>0</v>
      </c>
      <c r="E116" s="72">
        <v>0</v>
      </c>
      <c r="F116" s="72">
        <v>0</v>
      </c>
      <c r="G116" s="72">
        <v>0</v>
      </c>
      <c r="H116" s="72">
        <v>0</v>
      </c>
      <c r="I116" s="72">
        <v>0</v>
      </c>
      <c r="J116" s="72">
        <f>+W146</f>
        <v>3129220</v>
      </c>
      <c r="K116" s="72">
        <f>+W153</f>
        <v>3272680</v>
      </c>
      <c r="L116" s="72">
        <f>SUM(M116:Q116)</f>
        <v>0</v>
      </c>
      <c r="M116" s="72">
        <v>0</v>
      </c>
      <c r="N116" s="72">
        <v>0</v>
      </c>
      <c r="O116" s="72">
        <v>0</v>
      </c>
      <c r="P116" s="72">
        <v>0</v>
      </c>
      <c r="Q116" s="72">
        <v>0</v>
      </c>
      <c r="R116" s="72"/>
      <c r="S116" s="72">
        <f>+W153</f>
        <v>3272680</v>
      </c>
      <c r="T116" s="72">
        <v>0</v>
      </c>
      <c r="U116" s="72">
        <f>SUM(V116:Z116)</f>
        <v>0</v>
      </c>
      <c r="V116" s="72">
        <v>0</v>
      </c>
      <c r="W116" s="72">
        <v>0</v>
      </c>
      <c r="X116" s="72">
        <v>0</v>
      </c>
      <c r="Y116" s="72">
        <v>0</v>
      </c>
      <c r="Z116" s="72">
        <v>0</v>
      </c>
      <c r="AA116" s="72"/>
    </row>
    <row r="117" spans="1:27" x14ac:dyDescent="0.3">
      <c r="A117" s="101"/>
      <c r="B117" s="102"/>
      <c r="C117" s="103"/>
      <c r="D117" s="102"/>
      <c r="E117" s="103"/>
      <c r="F117" s="103"/>
      <c r="G117" s="103"/>
      <c r="H117" s="103"/>
      <c r="I117" s="104"/>
      <c r="J117" s="78"/>
      <c r="K117" s="103"/>
      <c r="L117" s="102"/>
      <c r="M117" s="103"/>
      <c r="N117" s="103"/>
      <c r="O117" s="103"/>
      <c r="P117" s="103"/>
      <c r="Q117" s="104"/>
      <c r="R117" s="69"/>
      <c r="S117" s="78"/>
      <c r="T117" s="103"/>
      <c r="U117" s="102"/>
      <c r="V117" s="103"/>
      <c r="W117" s="103"/>
      <c r="X117" s="103"/>
      <c r="Y117" s="103"/>
      <c r="Z117" s="104"/>
      <c r="AA117" s="69"/>
    </row>
    <row r="118" spans="1:27" x14ac:dyDescent="0.3">
      <c r="A118" s="71" t="s">
        <v>348</v>
      </c>
      <c r="B118" s="72">
        <f t="shared" ref="B118:J118" si="67">SUM(B119:B122)</f>
        <v>5000</v>
      </c>
      <c r="C118" s="72">
        <f t="shared" si="67"/>
        <v>0</v>
      </c>
      <c r="D118" s="72">
        <f t="shared" si="67"/>
        <v>5000</v>
      </c>
      <c r="E118" s="72">
        <f t="shared" si="67"/>
        <v>0</v>
      </c>
      <c r="F118" s="72">
        <f t="shared" si="67"/>
        <v>0</v>
      </c>
      <c r="G118" s="72">
        <f t="shared" si="67"/>
        <v>0</v>
      </c>
      <c r="H118" s="72">
        <f t="shared" si="67"/>
        <v>720</v>
      </c>
      <c r="I118" s="73">
        <f t="shared" si="67"/>
        <v>4280</v>
      </c>
      <c r="J118" s="72">
        <f t="shared" si="67"/>
        <v>5000</v>
      </c>
      <c r="K118" s="72">
        <f>SUM(K120:K122)</f>
        <v>0</v>
      </c>
      <c r="L118" s="72">
        <f t="shared" ref="L118:Q118" si="68">SUM(L119:L122)</f>
        <v>5000</v>
      </c>
      <c r="M118" s="72">
        <f t="shared" si="68"/>
        <v>0</v>
      </c>
      <c r="N118" s="72">
        <f t="shared" si="68"/>
        <v>0</v>
      </c>
      <c r="O118" s="72">
        <f t="shared" si="68"/>
        <v>0</v>
      </c>
      <c r="P118" s="72">
        <f t="shared" si="68"/>
        <v>720</v>
      </c>
      <c r="Q118" s="73">
        <f t="shared" si="68"/>
        <v>4280</v>
      </c>
      <c r="R118" s="72"/>
      <c r="S118" s="72">
        <f>SUM(S119:S122)</f>
        <v>720</v>
      </c>
      <c r="T118" s="72">
        <f>SUM(T120:T122)</f>
        <v>0</v>
      </c>
      <c r="U118" s="72">
        <f t="shared" ref="U118:Z118" si="69">SUM(U119:U122)</f>
        <v>720</v>
      </c>
      <c r="V118" s="72">
        <f t="shared" si="69"/>
        <v>0</v>
      </c>
      <c r="W118" s="72">
        <f t="shared" si="69"/>
        <v>0</v>
      </c>
      <c r="X118" s="72">
        <f t="shared" si="69"/>
        <v>0</v>
      </c>
      <c r="Y118" s="72">
        <f t="shared" si="69"/>
        <v>720</v>
      </c>
      <c r="Z118" s="73">
        <f t="shared" si="69"/>
        <v>0</v>
      </c>
      <c r="AA118" s="72"/>
    </row>
    <row r="119" spans="1:27" x14ac:dyDescent="0.3">
      <c r="A119" s="79" t="s">
        <v>349</v>
      </c>
      <c r="B119" s="75">
        <f>SUM(C119:D119)</f>
        <v>0</v>
      </c>
      <c r="C119" s="80">
        <v>0</v>
      </c>
      <c r="D119" s="75">
        <f>SUM(E119:I119)</f>
        <v>0</v>
      </c>
      <c r="E119" s="80"/>
      <c r="F119" s="80"/>
      <c r="G119" s="80"/>
      <c r="H119" s="80"/>
      <c r="I119" s="81"/>
      <c r="J119" s="78">
        <v>0</v>
      </c>
      <c r="K119" s="80">
        <v>0</v>
      </c>
      <c r="L119" s="75">
        <f>SUM(M119:Q119)</f>
        <v>0</v>
      </c>
      <c r="M119" s="80"/>
      <c r="N119" s="80"/>
      <c r="O119" s="80"/>
      <c r="P119" s="80"/>
      <c r="Q119" s="81"/>
      <c r="R119" s="69"/>
      <c r="S119" s="78">
        <v>0</v>
      </c>
      <c r="T119" s="80">
        <v>0</v>
      </c>
      <c r="U119" s="75">
        <f>SUM(V119:Z119)</f>
        <v>0</v>
      </c>
      <c r="V119" s="80"/>
      <c r="W119" s="80"/>
      <c r="X119" s="80"/>
      <c r="Y119" s="80"/>
      <c r="Z119" s="81"/>
      <c r="AA119" s="69"/>
    </row>
    <row r="120" spans="1:27" x14ac:dyDescent="0.3">
      <c r="A120" s="79" t="s">
        <v>350</v>
      </c>
      <c r="B120" s="75">
        <f>SUM(C120:D120)</f>
        <v>0</v>
      </c>
      <c r="C120" s="80">
        <v>0</v>
      </c>
      <c r="D120" s="75">
        <f>SUM(E120:I120)</f>
        <v>0</v>
      </c>
      <c r="E120" s="80"/>
      <c r="F120" s="80"/>
      <c r="G120" s="80"/>
      <c r="H120" s="80"/>
      <c r="I120" s="81"/>
      <c r="J120" s="78">
        <v>0</v>
      </c>
      <c r="K120" s="80">
        <v>0</v>
      </c>
      <c r="L120" s="75">
        <f>SUM(M120:Q120)</f>
        <v>0</v>
      </c>
      <c r="M120" s="80"/>
      <c r="N120" s="80"/>
      <c r="O120" s="80"/>
      <c r="P120" s="80"/>
      <c r="Q120" s="81"/>
      <c r="R120" s="69"/>
      <c r="S120" s="78">
        <v>0</v>
      </c>
      <c r="T120" s="80">
        <v>0</v>
      </c>
      <c r="U120" s="75">
        <f>SUM(V120:Z120)</f>
        <v>0</v>
      </c>
      <c r="V120" s="80"/>
      <c r="W120" s="80"/>
      <c r="X120" s="80"/>
      <c r="Y120" s="80"/>
      <c r="Z120" s="81"/>
      <c r="AA120" s="69"/>
    </row>
    <row r="121" spans="1:27" x14ac:dyDescent="0.3">
      <c r="A121" s="79" t="s">
        <v>351</v>
      </c>
      <c r="B121" s="75">
        <f>SUM(C121:D121)</f>
        <v>5000</v>
      </c>
      <c r="C121" s="80">
        <v>0</v>
      </c>
      <c r="D121" s="75">
        <f>SUM(E121:I121)</f>
        <v>5000</v>
      </c>
      <c r="E121" s="80">
        <v>0</v>
      </c>
      <c r="F121" s="80">
        <v>0</v>
      </c>
      <c r="G121" s="80">
        <v>0</v>
      </c>
      <c r="H121" s="80">
        <v>720</v>
      </c>
      <c r="I121" s="81">
        <v>4280</v>
      </c>
      <c r="J121" s="78">
        <f>B121</f>
        <v>5000</v>
      </c>
      <c r="K121" s="80">
        <v>0</v>
      </c>
      <c r="L121" s="75">
        <f>SUM(M121:Q121)</f>
        <v>5000</v>
      </c>
      <c r="M121" s="80">
        <v>0</v>
      </c>
      <c r="N121" s="80">
        <v>0</v>
      </c>
      <c r="O121" s="80">
        <v>0</v>
      </c>
      <c r="P121" s="80">
        <v>720</v>
      </c>
      <c r="Q121" s="81">
        <v>4280</v>
      </c>
      <c r="R121" s="69"/>
      <c r="S121" s="78">
        <f>SUM(T121:U121)</f>
        <v>720</v>
      </c>
      <c r="T121" s="80">
        <v>0</v>
      </c>
      <c r="U121" s="75">
        <f>SUM(V121:Z121)</f>
        <v>720</v>
      </c>
      <c r="V121" s="80">
        <v>0</v>
      </c>
      <c r="W121" s="80">
        <v>0</v>
      </c>
      <c r="X121" s="80">
        <v>0</v>
      </c>
      <c r="Y121" s="80">
        <f>60*12</f>
        <v>720</v>
      </c>
      <c r="Z121" s="81">
        <v>0</v>
      </c>
      <c r="AA121" s="69"/>
    </row>
    <row r="122" spans="1:27" x14ac:dyDescent="0.3">
      <c r="A122" s="79" t="s">
        <v>352</v>
      </c>
      <c r="B122" s="75">
        <f>SUM(C122:D122)</f>
        <v>0</v>
      </c>
      <c r="C122" s="80">
        <v>0</v>
      </c>
      <c r="D122" s="75">
        <f>SUM(E122:I122)</f>
        <v>0</v>
      </c>
      <c r="E122" s="80"/>
      <c r="F122" s="80"/>
      <c r="G122" s="80"/>
      <c r="H122" s="80"/>
      <c r="I122" s="81"/>
      <c r="J122" s="78">
        <v>0</v>
      </c>
      <c r="K122" s="80">
        <v>0</v>
      </c>
      <c r="L122" s="75">
        <f>SUM(M122:Q122)</f>
        <v>0</v>
      </c>
      <c r="M122" s="80"/>
      <c r="N122" s="80"/>
      <c r="O122" s="80"/>
      <c r="P122" s="80"/>
      <c r="Q122" s="81"/>
      <c r="R122" s="69"/>
      <c r="S122" s="78">
        <v>0</v>
      </c>
      <c r="T122" s="80">
        <v>0</v>
      </c>
      <c r="U122" s="75">
        <f>SUM(V122:Z122)</f>
        <v>0</v>
      </c>
      <c r="V122" s="80"/>
      <c r="W122" s="80"/>
      <c r="X122" s="80"/>
      <c r="Y122" s="80"/>
      <c r="Z122" s="81"/>
      <c r="AA122" s="69"/>
    </row>
    <row r="123" spans="1:27" x14ac:dyDescent="0.3">
      <c r="A123" s="71" t="s">
        <v>353</v>
      </c>
      <c r="B123" s="72"/>
      <c r="C123" s="105"/>
      <c r="D123" s="72"/>
      <c r="E123" s="106"/>
      <c r="F123" s="106"/>
      <c r="G123" s="106"/>
      <c r="H123" s="106"/>
      <c r="I123" s="107"/>
      <c r="J123" s="72"/>
      <c r="K123" s="105"/>
      <c r="L123" s="72"/>
      <c r="M123" s="106"/>
      <c r="N123" s="106"/>
      <c r="O123" s="106"/>
      <c r="P123" s="106"/>
      <c r="Q123" s="107"/>
      <c r="R123" s="72"/>
      <c r="S123" s="72"/>
      <c r="T123" s="105"/>
      <c r="U123" s="72"/>
      <c r="V123" s="106"/>
      <c r="W123" s="106"/>
      <c r="X123" s="106"/>
      <c r="Y123" s="106"/>
      <c r="Z123" s="107"/>
      <c r="AA123" s="72"/>
    </row>
    <row r="124" spans="1:27" x14ac:dyDescent="0.3">
      <c r="A124" s="108"/>
      <c r="B124" s="109"/>
      <c r="C124" s="110"/>
      <c r="D124" s="111"/>
      <c r="E124" s="112"/>
      <c r="F124" s="110"/>
      <c r="G124" s="110"/>
      <c r="H124" s="110"/>
      <c r="I124" s="110"/>
      <c r="K124" s="110"/>
      <c r="L124" s="111"/>
      <c r="M124" s="112"/>
      <c r="N124" s="110"/>
      <c r="O124" s="110"/>
      <c r="P124" s="110"/>
      <c r="Q124" s="110"/>
      <c r="R124" s="114"/>
      <c r="T124" s="110"/>
      <c r="U124" s="111"/>
      <c r="V124" s="112"/>
      <c r="W124" s="110"/>
      <c r="X124" s="110"/>
      <c r="Y124" s="110"/>
      <c r="Z124" s="110"/>
      <c r="AA124" s="114"/>
    </row>
    <row r="125" spans="1:27" x14ac:dyDescent="0.3">
      <c r="A125" s="98" t="s">
        <v>354</v>
      </c>
      <c r="B125" s="99">
        <f>+B116+B118+B123</f>
        <v>2634110</v>
      </c>
      <c r="C125" s="99">
        <f>+C116+C118+C123</f>
        <v>0</v>
      </c>
      <c r="D125" s="99">
        <v>5000</v>
      </c>
      <c r="E125" s="99">
        <f>+E116+E118+E123</f>
        <v>0</v>
      </c>
      <c r="F125" s="99">
        <f>+F116+F118+F123</f>
        <v>0</v>
      </c>
      <c r="G125" s="99">
        <f>+G116+G118+G123</f>
        <v>0</v>
      </c>
      <c r="H125" s="99">
        <f>+H116+H118+H123</f>
        <v>720</v>
      </c>
      <c r="I125" s="99">
        <f>+I116+I118+I123</f>
        <v>4280</v>
      </c>
      <c r="J125" s="99">
        <f>+J116+J118</f>
        <v>3134220</v>
      </c>
      <c r="K125" s="99">
        <f>+K116+K118+K123</f>
        <v>3272680</v>
      </c>
      <c r="L125" s="99">
        <v>5000</v>
      </c>
      <c r="M125" s="99">
        <f>+M116+M118+M123</f>
        <v>0</v>
      </c>
      <c r="N125" s="99">
        <f>+N116+N118+N123</f>
        <v>0</v>
      </c>
      <c r="O125" s="99">
        <f>+O116+O118+O123</f>
        <v>0</v>
      </c>
      <c r="P125" s="99">
        <f>+P116+P118+P123</f>
        <v>720</v>
      </c>
      <c r="Q125" s="99">
        <f>+Q116+Q118+Q123</f>
        <v>4280</v>
      </c>
      <c r="R125" s="99"/>
      <c r="S125" s="99">
        <f>+S116+S118</f>
        <v>3273400</v>
      </c>
      <c r="T125" s="99">
        <f t="shared" ref="T125:Z125" si="70">+T116+T118+T123</f>
        <v>0</v>
      </c>
      <c r="U125" s="99">
        <f t="shared" si="70"/>
        <v>720</v>
      </c>
      <c r="V125" s="99">
        <f t="shared" si="70"/>
        <v>0</v>
      </c>
      <c r="W125" s="99">
        <f t="shared" si="70"/>
        <v>0</v>
      </c>
      <c r="X125" s="99">
        <f t="shared" si="70"/>
        <v>0</v>
      </c>
      <c r="Y125" s="99">
        <f t="shared" si="70"/>
        <v>720</v>
      </c>
      <c r="Z125" s="99">
        <f t="shared" si="70"/>
        <v>0</v>
      </c>
      <c r="AA125" s="99"/>
    </row>
    <row r="126" spans="1:27" x14ac:dyDescent="0.3">
      <c r="A126" s="108"/>
      <c r="B126" s="111"/>
      <c r="C126" s="110"/>
      <c r="D126" s="111"/>
      <c r="E126" s="110"/>
      <c r="F126" s="110"/>
      <c r="G126" s="110"/>
      <c r="H126" s="110"/>
      <c r="I126" s="110"/>
      <c r="K126" s="110"/>
      <c r="L126" s="111"/>
      <c r="M126" s="110"/>
      <c r="N126" s="110"/>
      <c r="O126" s="110"/>
      <c r="P126" s="110"/>
      <c r="Q126" s="110"/>
      <c r="R126" s="114"/>
      <c r="T126" s="110"/>
      <c r="U126" s="111"/>
      <c r="V126" s="110"/>
      <c r="W126" s="110"/>
      <c r="X126" s="110"/>
      <c r="Y126" s="110"/>
      <c r="Z126" s="110"/>
      <c r="AA126" s="114"/>
    </row>
    <row r="127" spans="1:27" x14ac:dyDescent="0.3">
      <c r="A127" s="115" t="s">
        <v>355</v>
      </c>
      <c r="B127" s="116">
        <f>+B125-B114</f>
        <v>-331038.79999999981</v>
      </c>
      <c r="C127" s="112"/>
      <c r="D127" s="109"/>
      <c r="E127" s="112"/>
      <c r="F127" s="112"/>
      <c r="G127" s="112"/>
      <c r="H127" s="112"/>
      <c r="I127" s="112"/>
      <c r="J127" s="116">
        <f>+J125-J114</f>
        <v>-341563</v>
      </c>
      <c r="K127" s="116">
        <f>+K125-K114</f>
        <v>1118490</v>
      </c>
      <c r="L127" s="109"/>
      <c r="M127" s="112"/>
      <c r="N127" s="112"/>
      <c r="O127" s="112"/>
      <c r="P127" s="112"/>
      <c r="Q127" s="112"/>
      <c r="R127" s="114"/>
      <c r="S127" s="116">
        <f>+S125-S114</f>
        <v>96280.100000000093</v>
      </c>
      <c r="T127" s="112"/>
      <c r="U127" s="109"/>
      <c r="V127" s="112"/>
      <c r="W127" s="112"/>
      <c r="X127" s="112"/>
      <c r="Y127" s="112"/>
      <c r="Z127" s="112"/>
      <c r="AA127" s="114"/>
    </row>
    <row r="128" spans="1:27" x14ac:dyDescent="0.3">
      <c r="A128" s="108"/>
      <c r="B128" s="111"/>
      <c r="C128" s="110"/>
      <c r="D128" s="111"/>
      <c r="E128" s="110"/>
      <c r="F128" s="110"/>
      <c r="G128" s="110"/>
      <c r="H128" s="110"/>
      <c r="I128" s="110"/>
      <c r="K128" s="110"/>
      <c r="L128" s="111"/>
      <c r="M128" s="110"/>
      <c r="N128" s="110"/>
      <c r="O128" s="110"/>
      <c r="P128" s="110"/>
      <c r="Q128" s="110"/>
      <c r="R128" s="114"/>
      <c r="T128" s="110"/>
      <c r="U128" s="111"/>
      <c r="V128" s="110"/>
      <c r="W128" s="110"/>
      <c r="X128" s="110"/>
      <c r="Y128" s="110"/>
      <c r="Z128" s="110"/>
      <c r="AA128" s="114"/>
    </row>
    <row r="129" spans="1:27" x14ac:dyDescent="0.3">
      <c r="A129" s="117" t="s">
        <v>356</v>
      </c>
      <c r="B129" s="118">
        <v>0</v>
      </c>
      <c r="C129" s="118">
        <v>0</v>
      </c>
      <c r="D129" s="118">
        <v>0</v>
      </c>
      <c r="E129" s="118">
        <v>0</v>
      </c>
      <c r="F129" s="118">
        <v>0</v>
      </c>
      <c r="G129" s="118">
        <v>0</v>
      </c>
      <c r="H129" s="118">
        <v>0</v>
      </c>
      <c r="I129" s="118">
        <v>0</v>
      </c>
      <c r="J129" s="118">
        <v>0</v>
      </c>
      <c r="K129" s="118">
        <v>0</v>
      </c>
      <c r="L129" s="118">
        <v>0</v>
      </c>
      <c r="M129" s="118">
        <v>0</v>
      </c>
      <c r="N129" s="118">
        <v>0</v>
      </c>
      <c r="O129" s="118">
        <v>0</v>
      </c>
      <c r="P129" s="118">
        <v>0</v>
      </c>
      <c r="Q129" s="118">
        <v>0</v>
      </c>
      <c r="R129" s="114"/>
      <c r="S129" s="118">
        <v>0</v>
      </c>
      <c r="T129" s="118">
        <v>0</v>
      </c>
      <c r="U129" s="118">
        <v>0</v>
      </c>
      <c r="V129" s="118">
        <v>0</v>
      </c>
      <c r="W129" s="118">
        <v>0</v>
      </c>
      <c r="X129" s="118">
        <v>0</v>
      </c>
      <c r="Y129" s="118">
        <v>0</v>
      </c>
      <c r="Z129" s="118">
        <v>0</v>
      </c>
      <c r="AA129" s="114"/>
    </row>
    <row r="130" spans="1:27" x14ac:dyDescent="0.3">
      <c r="A130" s="108"/>
      <c r="B130" s="119"/>
      <c r="C130" s="119"/>
      <c r="D130" s="119"/>
      <c r="E130" s="119"/>
      <c r="F130" s="119"/>
      <c r="G130" s="119"/>
      <c r="H130" s="119"/>
      <c r="I130" s="119"/>
      <c r="K130" s="119"/>
      <c r="L130" s="119"/>
      <c r="M130" s="119"/>
      <c r="N130" s="119"/>
      <c r="O130" s="119"/>
      <c r="P130" s="119"/>
      <c r="Q130" s="119"/>
      <c r="R130" s="114"/>
      <c r="T130" s="119"/>
      <c r="U130" s="119"/>
      <c r="V130" s="119"/>
      <c r="W130" s="119"/>
      <c r="X130" s="119"/>
      <c r="Y130" s="119"/>
      <c r="Z130" s="119"/>
      <c r="AA130" s="114"/>
    </row>
    <row r="131" spans="1:27" x14ac:dyDescent="0.3">
      <c r="A131" s="120" t="s">
        <v>357</v>
      </c>
      <c r="B131" s="118">
        <f>SUM(C131:D131)</f>
        <v>0</v>
      </c>
      <c r="C131" s="118">
        <v>0</v>
      </c>
      <c r="D131" s="118">
        <f>SUM(E131:I131)</f>
        <v>0</v>
      </c>
      <c r="E131" s="118">
        <v>0</v>
      </c>
      <c r="F131" s="118">
        <v>0</v>
      </c>
      <c r="G131" s="118">
        <v>0</v>
      </c>
      <c r="H131" s="118">
        <v>0</v>
      </c>
      <c r="I131" s="118">
        <v>0</v>
      </c>
      <c r="J131" s="118">
        <v>0</v>
      </c>
      <c r="K131" s="118">
        <v>0</v>
      </c>
      <c r="L131" s="118">
        <f>SUM(M131:Q131)</f>
        <v>0</v>
      </c>
      <c r="M131" s="118">
        <v>0</v>
      </c>
      <c r="N131" s="118">
        <v>0</v>
      </c>
      <c r="O131" s="118">
        <v>0</v>
      </c>
      <c r="P131" s="118">
        <v>0</v>
      </c>
      <c r="Q131" s="118">
        <v>0</v>
      </c>
      <c r="R131" s="114"/>
      <c r="S131" s="118">
        <v>0</v>
      </c>
      <c r="T131" s="118">
        <v>0</v>
      </c>
      <c r="U131" s="118">
        <f>SUM(V131:Z131)</f>
        <v>0</v>
      </c>
      <c r="V131" s="118">
        <v>0</v>
      </c>
      <c r="W131" s="118">
        <v>0</v>
      </c>
      <c r="X131" s="118">
        <v>0</v>
      </c>
      <c r="Y131" s="118">
        <v>0</v>
      </c>
      <c r="Z131" s="118">
        <v>0</v>
      </c>
      <c r="AA131" s="114"/>
    </row>
    <row r="132" spans="1:27" x14ac:dyDescent="0.3">
      <c r="A132" s="108"/>
      <c r="B132" s="119"/>
      <c r="C132" s="121"/>
      <c r="D132" s="119"/>
      <c r="E132" s="121"/>
      <c r="F132" s="121"/>
      <c r="G132" s="121"/>
      <c r="H132" s="121"/>
      <c r="I132" s="121"/>
      <c r="K132" s="121"/>
      <c r="L132" s="119"/>
      <c r="M132" s="121"/>
      <c r="N132" s="121"/>
      <c r="O132" s="121"/>
      <c r="P132" s="121"/>
      <c r="Q132" s="121"/>
      <c r="T132" s="121"/>
      <c r="U132" s="119"/>
      <c r="V132" s="121"/>
      <c r="W132" s="121"/>
      <c r="X132" s="121"/>
      <c r="Y132" s="121"/>
      <c r="Z132" s="121"/>
    </row>
    <row r="133" spans="1:27" x14ac:dyDescent="0.3">
      <c r="A133" s="108"/>
      <c r="B133" s="119"/>
      <c r="C133" s="121"/>
      <c r="D133" s="119"/>
      <c r="E133" s="121"/>
      <c r="F133" s="121"/>
      <c r="G133" s="121"/>
      <c r="H133" s="121"/>
      <c r="I133" s="121"/>
      <c r="K133" s="121"/>
      <c r="L133" s="119"/>
      <c r="M133" s="121"/>
      <c r="N133" s="121"/>
      <c r="O133" s="121"/>
      <c r="P133" s="121"/>
      <c r="Q133" s="121"/>
      <c r="T133" s="121"/>
      <c r="U133" s="119"/>
      <c r="V133" s="121"/>
      <c r="W133" s="121"/>
      <c r="X133" s="121"/>
      <c r="Y133" s="121"/>
      <c r="Z133" s="121"/>
    </row>
    <row r="134" spans="1:27" x14ac:dyDescent="0.3">
      <c r="E134" s="121"/>
      <c r="F134" s="121"/>
      <c r="G134" s="121"/>
      <c r="H134" s="121"/>
      <c r="I134" s="121"/>
      <c r="K134" s="113"/>
      <c r="L134" s="113"/>
      <c r="M134" s="113"/>
      <c r="N134" s="121"/>
      <c r="O134" s="121"/>
      <c r="P134" s="121"/>
      <c r="Q134" s="121"/>
      <c r="T134" s="113"/>
      <c r="U134" s="113"/>
      <c r="V134" s="113"/>
      <c r="W134" s="121"/>
      <c r="X134" s="121"/>
      <c r="Y134" s="121"/>
      <c r="Z134" s="121"/>
    </row>
    <row r="135" spans="1:27" ht="28.8" x14ac:dyDescent="0.3">
      <c r="B135" s="119"/>
      <c r="F135" s="121"/>
      <c r="G135" s="121"/>
      <c r="H135" s="121"/>
      <c r="I135" s="121"/>
      <c r="K135" s="113"/>
      <c r="L135" s="113"/>
      <c r="M135" s="113"/>
      <c r="N135" s="121"/>
      <c r="P135" s="70"/>
      <c r="Q135" s="70"/>
      <c r="T135" s="123" t="s">
        <v>358</v>
      </c>
      <c r="U135" s="124" t="s">
        <v>359</v>
      </c>
      <c r="V135" s="125" t="s">
        <v>360</v>
      </c>
      <c r="W135" s="125" t="s">
        <v>361</v>
      </c>
      <c r="Y135" s="70"/>
      <c r="Z135" s="70"/>
    </row>
    <row r="136" spans="1:27" x14ac:dyDescent="0.3">
      <c r="E136" s="121"/>
      <c r="F136" s="121"/>
      <c r="G136" s="121"/>
      <c r="H136" s="121"/>
      <c r="I136" s="121"/>
      <c r="K136" s="113"/>
      <c r="L136" s="113"/>
      <c r="M136" s="113"/>
      <c r="N136" s="121"/>
      <c r="O136" s="121"/>
      <c r="P136" s="121"/>
      <c r="Q136" s="121"/>
      <c r="S136" s="119" t="s">
        <v>362</v>
      </c>
      <c r="T136" s="126" t="s">
        <v>363</v>
      </c>
      <c r="U136" s="127">
        <f>1059+293+1437+547+2561</f>
        <v>5897</v>
      </c>
      <c r="V136" s="128">
        <v>410</v>
      </c>
      <c r="W136" s="175">
        <f>V136*U136</f>
        <v>2417770</v>
      </c>
      <c r="X136" s="121"/>
      <c r="Y136" s="121"/>
      <c r="Z136" s="121"/>
    </row>
    <row r="137" spans="1:27" x14ac:dyDescent="0.3">
      <c r="A137" s="108"/>
      <c r="E137" s="121"/>
      <c r="F137" s="121"/>
      <c r="G137" s="121"/>
      <c r="H137" s="121"/>
      <c r="I137" s="121"/>
      <c r="K137" s="113"/>
      <c r="L137" s="113"/>
      <c r="M137" s="113"/>
      <c r="N137" s="121"/>
      <c r="O137" s="121"/>
      <c r="P137" s="121"/>
      <c r="Q137" s="121"/>
      <c r="S137" s="119" t="s">
        <v>364</v>
      </c>
      <c r="T137" s="126" t="s">
        <v>365</v>
      </c>
      <c r="U137" s="127">
        <f>107+116+27+57+344</f>
        <v>651</v>
      </c>
      <c r="V137" s="128">
        <v>80</v>
      </c>
      <c r="W137" s="175">
        <f>(U137/2)*V137</f>
        <v>26040</v>
      </c>
      <c r="X137" s="121"/>
      <c r="Y137" s="121"/>
      <c r="Z137" s="121"/>
    </row>
    <row r="138" spans="1:27" x14ac:dyDescent="0.3">
      <c r="A138" s="108"/>
      <c r="B138" s="130"/>
      <c r="C138" s="119"/>
      <c r="D138" s="131"/>
      <c r="E138" s="121"/>
      <c r="F138" s="121"/>
      <c r="G138" s="121"/>
      <c r="H138" s="121"/>
      <c r="I138" s="121"/>
      <c r="K138" s="113"/>
      <c r="L138" s="113"/>
      <c r="M138" s="113"/>
      <c r="N138" s="121"/>
      <c r="O138" s="121"/>
      <c r="P138" s="121"/>
      <c r="Q138" s="121"/>
      <c r="S138" s="119" t="s">
        <v>366</v>
      </c>
      <c r="T138" s="126" t="s">
        <v>367</v>
      </c>
      <c r="U138" s="127">
        <v>1853</v>
      </c>
      <c r="V138" s="128">
        <v>100</v>
      </c>
      <c r="W138" s="175">
        <f>V138*U138</f>
        <v>185300</v>
      </c>
      <c r="X138" s="121"/>
      <c r="Y138" s="121"/>
      <c r="Z138" s="121"/>
    </row>
    <row r="139" spans="1:27" x14ac:dyDescent="0.3">
      <c r="A139" s="108"/>
      <c r="B139" s="119"/>
      <c r="C139" s="121"/>
      <c r="D139" s="119"/>
      <c r="E139" s="121"/>
      <c r="F139" s="121"/>
      <c r="G139" s="121"/>
      <c r="H139" s="121"/>
      <c r="I139" s="121"/>
      <c r="K139" s="113"/>
      <c r="L139" s="113"/>
      <c r="M139" s="113"/>
      <c r="N139" s="121"/>
      <c r="O139" s="121"/>
      <c r="P139" s="121"/>
      <c r="Q139" s="121"/>
      <c r="S139" s="108"/>
      <c r="T139" s="121"/>
      <c r="U139" s="121"/>
      <c r="V139" s="119">
        <v>2021</v>
      </c>
      <c r="W139" s="132">
        <f>SUM(W136:W138)</f>
        <v>2629110</v>
      </c>
      <c r="X139" s="121"/>
      <c r="Y139" s="121"/>
      <c r="Z139" s="121"/>
    </row>
    <row r="140" spans="1:27" x14ac:dyDescent="0.3">
      <c r="A140" s="108"/>
      <c r="E140" s="121"/>
      <c r="F140" s="121"/>
      <c r="G140" s="121"/>
      <c r="H140" s="121"/>
      <c r="I140" s="121"/>
      <c r="K140" s="113"/>
      <c r="L140" s="113"/>
      <c r="M140" s="113"/>
      <c r="N140" s="121"/>
      <c r="O140" s="121"/>
      <c r="P140" s="121"/>
      <c r="Q140" s="121"/>
      <c r="S140" s="108"/>
      <c r="T140" s="121"/>
      <c r="U140" s="121"/>
      <c r="V140" s="121"/>
      <c r="W140" s="121"/>
      <c r="X140" s="121"/>
      <c r="Y140" s="121"/>
      <c r="Z140" s="121"/>
    </row>
    <row r="141" spans="1:27" x14ac:dyDescent="0.3">
      <c r="K141" s="113"/>
      <c r="L141" s="113"/>
      <c r="M141" s="113"/>
      <c r="N141" s="121"/>
      <c r="S141" s="108"/>
      <c r="T141" s="119"/>
      <c r="U141" s="119"/>
      <c r="V141" s="119"/>
      <c r="W141" s="119"/>
    </row>
    <row r="142" spans="1:27" ht="28.8" x14ac:dyDescent="0.3">
      <c r="K142" s="113"/>
      <c r="L142" s="113"/>
      <c r="M142" s="113"/>
      <c r="N142" s="121"/>
      <c r="S142" s="108"/>
      <c r="T142" s="123" t="s">
        <v>358</v>
      </c>
      <c r="U142" s="124" t="s">
        <v>359</v>
      </c>
      <c r="V142" s="125" t="s">
        <v>360</v>
      </c>
      <c r="W142" s="125" t="s">
        <v>361</v>
      </c>
    </row>
    <row r="143" spans="1:27" x14ac:dyDescent="0.3">
      <c r="K143" s="113"/>
      <c r="L143" s="113"/>
      <c r="M143" s="113"/>
      <c r="N143" s="121"/>
      <c r="S143" s="119" t="s">
        <v>362</v>
      </c>
      <c r="T143" s="126" t="s">
        <v>363</v>
      </c>
      <c r="U143" s="127">
        <v>6046</v>
      </c>
      <c r="V143" s="128">
        <v>470</v>
      </c>
      <c r="W143" s="175">
        <f>V143*U143</f>
        <v>2841620</v>
      </c>
    </row>
    <row r="144" spans="1:27" x14ac:dyDescent="0.3">
      <c r="A144" s="108"/>
      <c r="K144" s="113"/>
      <c r="L144" s="113"/>
      <c r="M144" s="113"/>
      <c r="N144" s="121"/>
      <c r="S144" s="119" t="s">
        <v>364</v>
      </c>
      <c r="T144" s="126" t="s">
        <v>365</v>
      </c>
      <c r="U144" s="127">
        <v>769</v>
      </c>
      <c r="V144" s="128">
        <v>100</v>
      </c>
      <c r="W144" s="175">
        <f>V144*U144</f>
        <v>76900</v>
      </c>
    </row>
    <row r="145" spans="1:31" x14ac:dyDescent="0.3">
      <c r="K145" s="113"/>
      <c r="L145" s="113"/>
      <c r="M145" s="113"/>
      <c r="N145" s="121"/>
      <c r="S145" s="119" t="s">
        <v>366</v>
      </c>
      <c r="T145" s="126" t="s">
        <v>367</v>
      </c>
      <c r="U145" s="127">
        <v>2107</v>
      </c>
      <c r="V145" s="128">
        <v>100</v>
      </c>
      <c r="W145" s="175">
        <f>V145*U145</f>
        <v>210700</v>
      </c>
    </row>
    <row r="146" spans="1:31" x14ac:dyDescent="0.3">
      <c r="K146" s="113"/>
      <c r="L146" s="113"/>
      <c r="M146" s="113"/>
      <c r="N146" s="121"/>
      <c r="S146" s="108"/>
      <c r="T146" s="121"/>
      <c r="U146" s="121"/>
      <c r="V146" s="119">
        <v>2022</v>
      </c>
      <c r="W146" s="132">
        <f>SUM(W143:W145)</f>
        <v>3129220</v>
      </c>
    </row>
    <row r="147" spans="1:31" x14ac:dyDescent="0.3">
      <c r="A147" s="108"/>
      <c r="B147" s="133"/>
      <c r="C147" s="134"/>
      <c r="D147" s="134"/>
      <c r="K147" s="113"/>
      <c r="L147" s="113"/>
      <c r="M147" s="113"/>
      <c r="N147" s="121"/>
      <c r="S147" s="70"/>
      <c r="W147" s="174"/>
    </row>
    <row r="148" spans="1:31" x14ac:dyDescent="0.3">
      <c r="C148" s="135"/>
      <c r="D148" s="135"/>
      <c r="K148" s="113"/>
      <c r="L148" s="113"/>
      <c r="M148" s="113"/>
      <c r="N148" s="121"/>
      <c r="O148" s="70"/>
      <c r="P148" s="70"/>
      <c r="Q148" s="70"/>
      <c r="R148" s="70"/>
      <c r="S148" s="70"/>
      <c r="W148" s="174"/>
      <c r="X148" s="70"/>
      <c r="Y148" s="70"/>
      <c r="Z148" s="70"/>
      <c r="AA148" s="177" t="s">
        <v>381</v>
      </c>
    </row>
    <row r="149" spans="1:31" ht="30" customHeight="1" x14ac:dyDescent="0.3">
      <c r="C149" s="135"/>
      <c r="D149" s="135"/>
      <c r="K149" s="113"/>
      <c r="L149" s="113"/>
      <c r="M149" s="113"/>
      <c r="N149" s="121"/>
      <c r="O149" s="70"/>
      <c r="P149" s="136"/>
      <c r="Q149" s="136"/>
      <c r="R149" s="136"/>
      <c r="S149" s="136"/>
      <c r="T149" s="123" t="s">
        <v>358</v>
      </c>
      <c r="U149" s="124" t="s">
        <v>359</v>
      </c>
      <c r="V149" s="125" t="s">
        <v>360</v>
      </c>
      <c r="W149" s="125" t="s">
        <v>361</v>
      </c>
      <c r="X149" s="136"/>
      <c r="Y149" s="136"/>
      <c r="Z149" s="136"/>
      <c r="AA149" s="123" t="s">
        <v>358</v>
      </c>
      <c r="AB149" s="124" t="s">
        <v>359</v>
      </c>
      <c r="AC149" s="125" t="s">
        <v>360</v>
      </c>
      <c r="AD149" s="125" t="s">
        <v>361</v>
      </c>
    </row>
    <row r="150" spans="1:31" x14ac:dyDescent="0.3">
      <c r="C150" s="135"/>
      <c r="D150" s="135"/>
      <c r="K150" s="113"/>
      <c r="L150" s="113"/>
      <c r="M150" s="113"/>
      <c r="N150" s="121"/>
      <c r="O150" s="70"/>
      <c r="P150" s="70"/>
      <c r="Q150" s="70"/>
      <c r="R150" s="70"/>
      <c r="S150" s="119" t="s">
        <v>362</v>
      </c>
      <c r="T150" s="126" t="s">
        <v>363</v>
      </c>
      <c r="U150" s="127">
        <v>6031</v>
      </c>
      <c r="V150" s="128">
        <v>500</v>
      </c>
      <c r="W150" s="175">
        <f>V150*U150</f>
        <v>3015500</v>
      </c>
      <c r="X150" s="70" t="s">
        <v>368</v>
      </c>
      <c r="Y150" s="136"/>
      <c r="Z150" s="119" t="s">
        <v>362</v>
      </c>
      <c r="AA150" s="126" t="s">
        <v>363</v>
      </c>
      <c r="AB150" s="127">
        <v>6031</v>
      </c>
      <c r="AC150" s="128">
        <v>490</v>
      </c>
      <c r="AD150" s="175">
        <f>AC150*AB150</f>
        <v>2955190</v>
      </c>
      <c r="AE150" s="152">
        <f>AD150/$AD$153</f>
        <v>0.92668525144324687</v>
      </c>
    </row>
    <row r="151" spans="1:31" x14ac:dyDescent="0.3">
      <c r="A151" s="108"/>
      <c r="C151" s="135"/>
      <c r="D151" s="135"/>
      <c r="K151" s="113"/>
      <c r="L151" s="113"/>
      <c r="M151" s="113"/>
      <c r="N151" s="121"/>
      <c r="O151" s="70"/>
      <c r="P151" s="70"/>
      <c r="Q151" s="70"/>
      <c r="R151" s="70"/>
      <c r="S151" s="119" t="s">
        <v>364</v>
      </c>
      <c r="T151" s="126" t="s">
        <v>365</v>
      </c>
      <c r="U151" s="127">
        <v>760</v>
      </c>
      <c r="V151" s="128">
        <v>110</v>
      </c>
      <c r="W151" s="175">
        <f>V151*U151</f>
        <v>83600</v>
      </c>
      <c r="X151" s="70"/>
      <c r="Y151" s="136"/>
      <c r="Z151" s="119" t="s">
        <v>364</v>
      </c>
      <c r="AA151" s="126" t="s">
        <v>365</v>
      </c>
      <c r="AB151" s="127">
        <v>760</v>
      </c>
      <c r="AC151" s="128">
        <v>100</v>
      </c>
      <c r="AD151" s="175">
        <f>AC151*AB151</f>
        <v>76000</v>
      </c>
      <c r="AE151" s="152">
        <f>AD151/$AD$153</f>
        <v>2.3831996964556176E-2</v>
      </c>
    </row>
    <row r="152" spans="1:31" x14ac:dyDescent="0.3">
      <c r="C152" s="135"/>
      <c r="D152" s="135"/>
      <c r="K152" s="113"/>
      <c r="L152" s="113"/>
      <c r="M152" s="113"/>
      <c r="N152" s="121"/>
      <c r="O152" s="70"/>
      <c r="P152" s="70"/>
      <c r="Q152" s="70"/>
      <c r="R152" s="70"/>
      <c r="S152" s="119" t="s">
        <v>366</v>
      </c>
      <c r="T152" s="126" t="s">
        <v>367</v>
      </c>
      <c r="U152" s="127">
        <v>1578</v>
      </c>
      <c r="V152" s="128">
        <v>110</v>
      </c>
      <c r="W152" s="175">
        <f>V152*U152</f>
        <v>173580</v>
      </c>
      <c r="X152" s="70"/>
      <c r="Y152" s="70"/>
      <c r="Z152" s="119" t="s">
        <v>366</v>
      </c>
      <c r="AA152" s="126" t="s">
        <v>367</v>
      </c>
      <c r="AB152" s="127">
        <v>1578</v>
      </c>
      <c r="AC152" s="128">
        <v>100</v>
      </c>
      <c r="AD152" s="175">
        <f>AC152*AB152</f>
        <v>157800</v>
      </c>
      <c r="AE152" s="152">
        <f>AD152/$AD$153</f>
        <v>4.9482751592196901E-2</v>
      </c>
    </row>
    <row r="153" spans="1:31" x14ac:dyDescent="0.3">
      <c r="C153" s="137"/>
      <c r="D153" s="137"/>
      <c r="K153" s="113"/>
      <c r="L153" s="113"/>
      <c r="M153" s="113"/>
      <c r="N153" s="121"/>
      <c r="P153" s="70"/>
      <c r="Q153" s="70"/>
      <c r="R153" s="70"/>
      <c r="S153" s="108"/>
      <c r="T153" s="121"/>
      <c r="U153" s="121"/>
      <c r="V153" s="119">
        <v>2023</v>
      </c>
      <c r="W153" s="132">
        <f>SUM(W150:W152)</f>
        <v>3272680</v>
      </c>
      <c r="Y153" s="70"/>
      <c r="Z153" s="108"/>
      <c r="AA153" s="121"/>
      <c r="AB153" s="121"/>
      <c r="AC153" s="119">
        <v>2023</v>
      </c>
      <c r="AD153" s="132">
        <f>SUM(AD150:AD152)</f>
        <v>3188990</v>
      </c>
      <c r="AE153" s="152">
        <f>AD153/$AD$153</f>
        <v>1</v>
      </c>
    </row>
    <row r="155" spans="1:31" x14ac:dyDescent="0.3">
      <c r="C155" s="138"/>
      <c r="D155" s="139"/>
      <c r="K155" s="70"/>
      <c r="L155" s="70"/>
      <c r="M155" s="70"/>
      <c r="N155" s="70"/>
      <c r="O155" s="70"/>
      <c r="P155" s="70"/>
      <c r="Q155" s="70"/>
      <c r="R155" s="70"/>
      <c r="T155" s="70"/>
      <c r="U155" s="122" t="s">
        <v>368</v>
      </c>
      <c r="V155" s="70"/>
      <c r="W155" s="70"/>
      <c r="X155" s="70"/>
      <c r="Y155" s="70"/>
      <c r="Z155" s="70"/>
      <c r="AA155" s="70"/>
    </row>
    <row r="156" spans="1:31" ht="28.8" x14ac:dyDescent="0.3">
      <c r="C156" s="138"/>
      <c r="K156" s="140" t="s">
        <v>369</v>
      </c>
      <c r="L156" s="141" t="s">
        <v>359</v>
      </c>
      <c r="M156" s="141" t="s">
        <v>370</v>
      </c>
      <c r="N156" s="70"/>
      <c r="O156" s="70"/>
      <c r="P156" s="70"/>
      <c r="Q156" s="70"/>
      <c r="R156" s="70"/>
      <c r="T156" s="140" t="s">
        <v>369</v>
      </c>
      <c r="U156" s="141" t="s">
        <v>359</v>
      </c>
      <c r="V156" s="141" t="s">
        <v>370</v>
      </c>
      <c r="W156" s="70"/>
      <c r="X156" s="70"/>
      <c r="Y156" s="70"/>
      <c r="Z156" s="70"/>
      <c r="AA156" s="70"/>
    </row>
    <row r="157" spans="1:31" x14ac:dyDescent="0.3">
      <c r="C157" s="138"/>
      <c r="K157" s="142" t="s">
        <v>267</v>
      </c>
      <c r="L157" s="129">
        <v>2643</v>
      </c>
      <c r="M157" s="129">
        <f>ROUND(L157/$L$162*$L$166,0)-1</f>
        <v>8023</v>
      </c>
      <c r="N157" s="70"/>
      <c r="O157" s="70"/>
      <c r="P157" s="70"/>
      <c r="Q157" s="70"/>
      <c r="R157" s="70"/>
      <c r="T157" s="176" t="s">
        <v>267</v>
      </c>
      <c r="U157" s="175">
        <v>2663</v>
      </c>
      <c r="V157" s="175">
        <f>ROUND(U157/$U$162*$U$164,0)</f>
        <v>4416</v>
      </c>
      <c r="W157" s="70"/>
      <c r="X157" s="70"/>
      <c r="Y157" s="70"/>
      <c r="Z157" s="70"/>
      <c r="AA157" s="70"/>
    </row>
    <row r="158" spans="1:31" x14ac:dyDescent="0.3">
      <c r="K158" s="142" t="s">
        <v>371</v>
      </c>
      <c r="L158" s="129">
        <v>570</v>
      </c>
      <c r="M158" s="129">
        <f>ROUND(L158/$L$162*$L$166,0)</f>
        <v>1731</v>
      </c>
      <c r="N158" s="70"/>
      <c r="O158" s="70"/>
      <c r="P158" s="70"/>
      <c r="Q158" s="70"/>
      <c r="R158" s="70"/>
      <c r="T158" s="176" t="s">
        <v>371</v>
      </c>
      <c r="U158" s="175">
        <v>570</v>
      </c>
      <c r="V158" s="175">
        <f>ROUND(U158/$U$162*$U$164,0)</f>
        <v>945</v>
      </c>
      <c r="W158" s="70"/>
      <c r="X158" s="70"/>
      <c r="Y158" s="70"/>
      <c r="Z158" s="70"/>
      <c r="AA158" s="70"/>
    </row>
    <row r="159" spans="1:31" x14ac:dyDescent="0.3">
      <c r="K159" s="142" t="s">
        <v>372</v>
      </c>
      <c r="L159" s="129">
        <v>1073</v>
      </c>
      <c r="M159" s="129">
        <f>ROUND(L159/$L$162*$L$166,0)</f>
        <v>3258</v>
      </c>
      <c r="N159" s="70"/>
      <c r="O159" s="70"/>
      <c r="P159" s="70"/>
      <c r="Q159" s="70"/>
      <c r="R159" s="70"/>
      <c r="T159" s="176" t="s">
        <v>372</v>
      </c>
      <c r="U159" s="175">
        <v>1049</v>
      </c>
      <c r="V159" s="175">
        <f>ROUND(U159/$U$162*$U$164,0)</f>
        <v>1739</v>
      </c>
      <c r="W159" s="70"/>
      <c r="X159" s="70"/>
      <c r="Y159" s="70"/>
      <c r="Z159" s="70"/>
      <c r="AA159" s="70"/>
    </row>
    <row r="160" spans="1:31" x14ac:dyDescent="0.3">
      <c r="K160" s="142" t="s">
        <v>373</v>
      </c>
      <c r="L160" s="129">
        <v>295</v>
      </c>
      <c r="M160" s="129">
        <f>ROUND(L160/$L$162*$L$166,0)</f>
        <v>896</v>
      </c>
      <c r="N160" s="70"/>
      <c r="O160" s="70"/>
      <c r="P160" s="70"/>
      <c r="Q160" s="70"/>
      <c r="R160" s="70"/>
      <c r="T160" s="176" t="s">
        <v>373</v>
      </c>
      <c r="U160" s="175">
        <v>295</v>
      </c>
      <c r="V160" s="175">
        <f>ROUND(U160/$U$162*$U$164,0)</f>
        <v>489</v>
      </c>
      <c r="W160" s="70"/>
      <c r="X160" s="70"/>
      <c r="Y160" s="70"/>
      <c r="Z160" s="70"/>
      <c r="AA160" s="70"/>
    </row>
    <row r="161" spans="11:27" x14ac:dyDescent="0.3">
      <c r="K161" s="142" t="s">
        <v>374</v>
      </c>
      <c r="L161" s="129">
        <v>1465</v>
      </c>
      <c r="M161" s="129">
        <f>ROUND(L161/$L$162*$L$166,0)</f>
        <v>4448</v>
      </c>
      <c r="N161" s="70"/>
      <c r="O161" s="70"/>
      <c r="P161" s="70"/>
      <c r="Q161" s="70"/>
      <c r="R161" s="70"/>
      <c r="T161" s="176" t="s">
        <v>374</v>
      </c>
      <c r="U161" s="175">
        <v>1454</v>
      </c>
      <c r="V161" s="175">
        <f>ROUND(U161/$U$162*$U$164,0)</f>
        <v>2411</v>
      </c>
      <c r="W161" s="70"/>
      <c r="X161" s="70"/>
      <c r="Y161" s="70"/>
      <c r="Z161" s="70"/>
      <c r="AA161" s="70"/>
    </row>
    <row r="162" spans="11:27" x14ac:dyDescent="0.3">
      <c r="L162" s="132">
        <f>SUM(L157:L161)</f>
        <v>6046</v>
      </c>
      <c r="M162" s="132">
        <f>SUM(M157:M161)</f>
        <v>18356</v>
      </c>
      <c r="N162" s="70"/>
      <c r="O162" s="70"/>
      <c r="P162" s="70"/>
      <c r="Q162" s="70"/>
      <c r="R162" s="70"/>
      <c r="U162" s="132">
        <f>SUM(U157:U161)</f>
        <v>6031</v>
      </c>
      <c r="V162" s="132">
        <f>SUM(V157:V161)</f>
        <v>10000</v>
      </c>
      <c r="W162" s="70"/>
      <c r="X162" s="70"/>
      <c r="Y162" s="70"/>
      <c r="Z162" s="70"/>
      <c r="AA162" s="70"/>
    </row>
    <row r="163" spans="11:27" x14ac:dyDescent="0.3">
      <c r="N163" s="70"/>
      <c r="O163" s="70"/>
      <c r="P163" s="70"/>
      <c r="Q163" s="70"/>
      <c r="R163" s="70"/>
      <c r="W163" s="70"/>
      <c r="X163" s="70"/>
      <c r="Y163" s="70"/>
      <c r="Z163" s="70"/>
      <c r="AA163" s="70"/>
    </row>
    <row r="164" spans="11:27" x14ac:dyDescent="0.3">
      <c r="K164" s="122" t="s">
        <v>361</v>
      </c>
      <c r="L164" s="138">
        <v>30856</v>
      </c>
      <c r="M164" s="139" t="s">
        <v>375</v>
      </c>
      <c r="N164" s="70"/>
      <c r="O164" s="70"/>
      <c r="P164" s="70"/>
      <c r="Q164" s="70"/>
      <c r="R164" s="70"/>
      <c r="T164" s="122" t="s">
        <v>361</v>
      </c>
      <c r="U164" s="138">
        <v>10000</v>
      </c>
      <c r="V164" s="143" t="s">
        <v>376</v>
      </c>
      <c r="W164" s="70"/>
      <c r="X164" s="70"/>
      <c r="Y164" s="70"/>
      <c r="Z164" s="70"/>
      <c r="AA164" s="70"/>
    </row>
    <row r="165" spans="11:27" x14ac:dyDescent="0.3">
      <c r="K165" s="122" t="s">
        <v>377</v>
      </c>
      <c r="L165" s="138">
        <f>-2500*5</f>
        <v>-12500</v>
      </c>
      <c r="N165" s="70"/>
      <c r="O165" s="70"/>
      <c r="P165" s="70"/>
      <c r="Q165" s="70"/>
      <c r="R165" s="70"/>
      <c r="U165" s="138"/>
      <c r="W165" s="70"/>
      <c r="X165" s="70"/>
      <c r="Y165" s="70"/>
      <c r="Z165" s="70"/>
      <c r="AA165" s="70"/>
    </row>
    <row r="166" spans="11:27" x14ac:dyDescent="0.3">
      <c r="K166" s="122" t="s">
        <v>378</v>
      </c>
      <c r="L166" s="138">
        <f>SUM(L164:L165)</f>
        <v>18356</v>
      </c>
      <c r="N166" s="70"/>
      <c r="O166" s="70"/>
      <c r="P166" s="70"/>
      <c r="Q166" s="70"/>
      <c r="R166" s="70"/>
      <c r="U166" s="138"/>
      <c r="W166" s="70"/>
      <c r="X166" s="70"/>
      <c r="Y166" s="70"/>
      <c r="Z166" s="70"/>
      <c r="AA166" s="70"/>
    </row>
    <row r="167" spans="11:27" x14ac:dyDescent="0.3">
      <c r="K167" s="70"/>
      <c r="L167" s="70"/>
      <c r="M167" s="70"/>
      <c r="N167" s="70"/>
      <c r="O167" s="70"/>
      <c r="P167" s="70"/>
      <c r="Q167" s="70"/>
      <c r="R167" s="70"/>
      <c r="T167" s="70"/>
      <c r="U167" s="70"/>
      <c r="V167" s="70"/>
      <c r="W167" s="70"/>
      <c r="X167" s="70"/>
      <c r="Y167" s="70"/>
      <c r="Z167" s="70"/>
      <c r="AA167" s="70"/>
    </row>
    <row r="169" spans="11:27" x14ac:dyDescent="0.3">
      <c r="K169" s="70"/>
      <c r="L169" s="70"/>
      <c r="M169" s="70"/>
      <c r="N169" s="70"/>
      <c r="O169" s="70"/>
      <c r="P169" s="70"/>
      <c r="Q169" s="70"/>
      <c r="R169" s="70"/>
      <c r="T169" s="70"/>
      <c r="U169" s="70"/>
      <c r="V169" s="70"/>
      <c r="W169" s="70"/>
      <c r="X169" s="70"/>
      <c r="Y169" s="70"/>
      <c r="Z169" s="70"/>
      <c r="AA169" s="70"/>
    </row>
    <row r="170" spans="11:27" x14ac:dyDescent="0.3">
      <c r="K170" s="70"/>
      <c r="L170" s="70"/>
      <c r="M170" s="70"/>
      <c r="N170" s="70"/>
      <c r="O170" s="70"/>
      <c r="P170" s="70"/>
      <c r="Q170" s="70"/>
      <c r="R170" s="70"/>
      <c r="T170" s="70"/>
      <c r="U170" s="70"/>
      <c r="V170" s="70"/>
      <c r="W170" s="70"/>
      <c r="X170" s="70"/>
      <c r="Y170" s="70"/>
      <c r="Z170" s="70"/>
      <c r="AA170" s="70"/>
    </row>
    <row r="171" spans="11:27" x14ac:dyDescent="0.3">
      <c r="K171" s="70"/>
      <c r="L171" s="70"/>
      <c r="M171" s="70"/>
      <c r="N171" s="70"/>
      <c r="O171" s="70"/>
      <c r="P171" s="70"/>
      <c r="Q171" s="70"/>
      <c r="R171" s="70"/>
      <c r="T171" s="70"/>
      <c r="U171" s="70"/>
      <c r="V171" s="70"/>
      <c r="W171" s="70"/>
      <c r="X171" s="70"/>
      <c r="Y171" s="70"/>
      <c r="Z171" s="70"/>
      <c r="AA171" s="70"/>
    </row>
    <row r="172" spans="11:27" x14ac:dyDescent="0.3">
      <c r="K172" s="70"/>
      <c r="L172" s="70"/>
      <c r="M172" s="70"/>
      <c r="N172" s="70"/>
      <c r="O172" s="70"/>
      <c r="P172" s="70"/>
      <c r="Q172" s="70"/>
      <c r="R172" s="70"/>
      <c r="T172" s="70"/>
      <c r="U172" s="70"/>
      <c r="V172" s="70"/>
      <c r="W172" s="70"/>
      <c r="X172" s="70"/>
      <c r="Y172" s="70"/>
      <c r="Z172" s="70"/>
      <c r="AA172" s="70"/>
    </row>
    <row r="173" spans="11:27" x14ac:dyDescent="0.3">
      <c r="K173" s="70"/>
      <c r="L173" s="70"/>
      <c r="M173" s="70"/>
      <c r="N173" s="70"/>
      <c r="O173" s="70"/>
      <c r="P173" s="70"/>
      <c r="Q173" s="70"/>
      <c r="R173" s="70"/>
      <c r="T173" s="70"/>
      <c r="U173" s="70"/>
      <c r="V173" s="70"/>
      <c r="W173" s="70"/>
      <c r="X173" s="70"/>
      <c r="Y173" s="70"/>
      <c r="Z173" s="70"/>
      <c r="AA173" s="70"/>
    </row>
    <row r="174" spans="11:27" x14ac:dyDescent="0.3">
      <c r="K174" s="70"/>
      <c r="L174" s="70"/>
      <c r="M174" s="70"/>
      <c r="N174" s="70"/>
      <c r="O174" s="70"/>
      <c r="P174" s="70"/>
      <c r="Q174" s="70"/>
      <c r="R174" s="70"/>
      <c r="T174" s="70"/>
      <c r="U174" s="70"/>
      <c r="V174" s="70"/>
      <c r="W174" s="70"/>
      <c r="X174" s="70"/>
      <c r="Y174" s="70"/>
      <c r="Z174" s="70"/>
      <c r="AA174" s="70"/>
    </row>
    <row r="175" spans="11:27" x14ac:dyDescent="0.3">
      <c r="K175" s="70"/>
      <c r="L175" s="70"/>
      <c r="M175" s="70"/>
      <c r="N175" s="70"/>
      <c r="O175" s="70"/>
      <c r="P175" s="70"/>
      <c r="Q175" s="70"/>
      <c r="R175" s="70"/>
      <c r="T175" s="70"/>
      <c r="U175" s="70"/>
      <c r="V175" s="70"/>
      <c r="W175" s="70"/>
      <c r="X175" s="70"/>
      <c r="Y175" s="70"/>
      <c r="Z175" s="70"/>
      <c r="AA175" s="70"/>
    </row>
    <row r="176" spans="11:27" x14ac:dyDescent="0.3">
      <c r="K176" s="70"/>
      <c r="L176" s="70"/>
      <c r="M176" s="70"/>
      <c r="N176" s="70"/>
      <c r="O176" s="70"/>
      <c r="P176" s="70"/>
      <c r="Q176" s="70"/>
      <c r="R176" s="70"/>
      <c r="T176" s="70"/>
      <c r="U176" s="70"/>
      <c r="V176" s="70"/>
      <c r="W176" s="70"/>
      <c r="X176" s="70"/>
      <c r="Y176" s="70"/>
      <c r="Z176" s="70"/>
      <c r="AA176" s="70"/>
    </row>
    <row r="177" spans="11:27" x14ac:dyDescent="0.3">
      <c r="K177" s="70"/>
      <c r="L177" s="70"/>
      <c r="M177" s="70"/>
      <c r="N177" s="70"/>
      <c r="O177" s="70"/>
      <c r="P177" s="70"/>
      <c r="Q177" s="70"/>
      <c r="R177" s="70"/>
      <c r="T177" s="70"/>
      <c r="U177" s="70"/>
      <c r="V177" s="70"/>
      <c r="W177" s="70"/>
      <c r="X177" s="70"/>
      <c r="Y177" s="70"/>
      <c r="Z177" s="70"/>
      <c r="AA177" s="70"/>
    </row>
    <row r="178" spans="11:27" x14ac:dyDescent="0.3">
      <c r="K178" s="70"/>
      <c r="L178" s="70"/>
      <c r="M178" s="70"/>
      <c r="N178" s="70"/>
      <c r="O178" s="70"/>
      <c r="P178" s="70"/>
      <c r="Q178" s="70"/>
      <c r="R178" s="70"/>
      <c r="T178" s="70"/>
      <c r="U178" s="70"/>
      <c r="V178" s="70"/>
      <c r="W178" s="70"/>
      <c r="X178" s="70"/>
      <c r="Y178" s="70"/>
      <c r="Z178" s="70"/>
      <c r="AA178" s="70"/>
    </row>
    <row r="179" spans="11:27" x14ac:dyDescent="0.3">
      <c r="K179" s="70"/>
      <c r="L179" s="70"/>
      <c r="M179" s="70"/>
      <c r="N179" s="70"/>
      <c r="O179" s="70"/>
      <c r="P179" s="70"/>
      <c r="Q179" s="70"/>
      <c r="T179" s="70"/>
      <c r="U179" s="70"/>
      <c r="V179" s="70"/>
      <c r="W179" s="70"/>
      <c r="X179" s="70"/>
      <c r="Y179" s="70"/>
      <c r="Z179" s="70"/>
    </row>
    <row r="180" spans="11:27" x14ac:dyDescent="0.3">
      <c r="K180" s="70"/>
      <c r="L180" s="70"/>
      <c r="M180" s="70"/>
      <c r="N180" s="70"/>
      <c r="O180" s="70"/>
      <c r="P180" s="70"/>
      <c r="Q180" s="70"/>
      <c r="T180" s="70"/>
      <c r="U180" s="70"/>
      <c r="V180" s="70"/>
      <c r="W180" s="70"/>
      <c r="X180" s="70"/>
      <c r="Y180" s="70"/>
      <c r="Z180" s="70"/>
    </row>
    <row r="181" spans="11:27" x14ac:dyDescent="0.3">
      <c r="K181" s="70"/>
      <c r="L181" s="70"/>
      <c r="M181" s="70"/>
      <c r="N181" s="70"/>
      <c r="O181" s="70"/>
      <c r="P181" s="70"/>
      <c r="Q181" s="70"/>
      <c r="T181" s="70"/>
      <c r="U181" s="70"/>
      <c r="V181" s="70"/>
      <c r="W181" s="70"/>
      <c r="X181" s="70"/>
      <c r="Y181" s="70"/>
      <c r="Z181" s="70"/>
    </row>
    <row r="182" spans="11:27" x14ac:dyDescent="0.3">
      <c r="K182" s="70"/>
      <c r="L182" s="70"/>
      <c r="M182" s="70"/>
      <c r="N182" s="70"/>
      <c r="O182" s="70"/>
      <c r="P182" s="70"/>
      <c r="Q182" s="70"/>
      <c r="T182" s="70"/>
      <c r="U182" s="70"/>
      <c r="V182" s="70"/>
      <c r="W182" s="70"/>
      <c r="X182" s="70"/>
      <c r="Y182" s="70"/>
      <c r="Z182" s="70"/>
    </row>
    <row r="184" spans="11:27" x14ac:dyDescent="0.3">
      <c r="K184" s="70"/>
      <c r="L184" s="70"/>
      <c r="M184" s="70"/>
      <c r="N184" s="70"/>
      <c r="O184" s="70"/>
      <c r="P184" s="70"/>
      <c r="Q184" s="70"/>
      <c r="T184" s="70"/>
      <c r="U184" s="70"/>
      <c r="V184" s="70"/>
      <c r="W184" s="70"/>
      <c r="X184" s="70"/>
      <c r="Y184" s="70"/>
      <c r="Z184" s="70"/>
    </row>
  </sheetData>
  <pageMargins left="0.7" right="0.7" top="0.75" bottom="0.75" header="0.3" footer="0.3"/>
  <pageSetup paperSize="8" orientation="landscape" r:id="rId1"/>
  <ignoredErrors>
    <ignoredError sqref="B32 B69:B71 B101:B105 J32:J43 J59:J82 J93:J110 U5:U17 U82:U84 S23:S46 T49:T51 S66:T80 U114:U115 T93:T95 T96:T100 S102:T107 S96:S101 W39" formula="1"/>
    <ignoredError sqref="U18:U52 U53:U75 U76:U81 U85:U113 T101 T118" formula="1"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1215-1396-4156-ACB6-81B8E79DAE6B}">
  <dimension ref="A3:I56"/>
  <sheetViews>
    <sheetView workbookViewId="0"/>
  </sheetViews>
  <sheetFormatPr baseColWidth="10" defaultColWidth="9.33203125" defaultRowHeight="13.2" x14ac:dyDescent="0.25"/>
  <cols>
    <col min="1" max="1" width="44.109375" bestFit="1" customWidth="1"/>
    <col min="2" max="2" width="13.6640625" bestFit="1" customWidth="1"/>
    <col min="3" max="3" width="8" bestFit="1" customWidth="1"/>
    <col min="4" max="4" width="9.77734375" bestFit="1" customWidth="1"/>
    <col min="5" max="5" width="11.109375" bestFit="1" customWidth="1"/>
    <col min="6" max="6" width="10.44140625" bestFit="1" customWidth="1"/>
    <col min="7" max="7" width="9.77734375" bestFit="1" customWidth="1"/>
    <col min="8" max="8" width="10.6640625" bestFit="1" customWidth="1"/>
    <col min="9" max="9" width="10.77734375" bestFit="1" customWidth="1"/>
  </cols>
  <sheetData>
    <row r="3" spans="1:9" x14ac:dyDescent="0.25">
      <c r="A3" s="239" t="s">
        <v>926</v>
      </c>
      <c r="B3" s="239" t="s">
        <v>927</v>
      </c>
    </row>
    <row r="4" spans="1:9" x14ac:dyDescent="0.25">
      <c r="A4" s="239" t="s">
        <v>923</v>
      </c>
      <c r="B4" t="s">
        <v>917</v>
      </c>
      <c r="C4" t="s">
        <v>920</v>
      </c>
      <c r="D4" t="s">
        <v>922</v>
      </c>
      <c r="E4" t="s">
        <v>918</v>
      </c>
      <c r="F4" t="s">
        <v>919</v>
      </c>
      <c r="G4" t="s">
        <v>924</v>
      </c>
      <c r="H4" t="s">
        <v>938</v>
      </c>
      <c r="I4" t="s">
        <v>925</v>
      </c>
    </row>
    <row r="5" spans="1:9" x14ac:dyDescent="0.25">
      <c r="A5" t="s">
        <v>901</v>
      </c>
      <c r="D5">
        <v>148741.04999999999</v>
      </c>
      <c r="E5">
        <v>233.37</v>
      </c>
      <c r="G5">
        <v>239159.42000000004</v>
      </c>
      <c r="H5">
        <v>381353.75000000006</v>
      </c>
      <c r="I5">
        <v>769487.59</v>
      </c>
    </row>
    <row r="6" spans="1:9" x14ac:dyDescent="0.25">
      <c r="A6" s="240" t="s">
        <v>451</v>
      </c>
      <c r="D6">
        <v>148741.04999999999</v>
      </c>
      <c r="G6">
        <v>238863.55000000002</v>
      </c>
      <c r="H6">
        <v>379153.15</v>
      </c>
      <c r="I6">
        <v>766757.75</v>
      </c>
    </row>
    <row r="7" spans="1:9" x14ac:dyDescent="0.25">
      <c r="A7" s="240" t="s">
        <v>447</v>
      </c>
      <c r="E7">
        <v>53.11</v>
      </c>
      <c r="G7">
        <v>107.42</v>
      </c>
      <c r="H7">
        <v>268.55</v>
      </c>
      <c r="I7">
        <v>429.08000000000004</v>
      </c>
    </row>
    <row r="8" spans="1:9" x14ac:dyDescent="0.25">
      <c r="A8" s="240" t="s">
        <v>767</v>
      </c>
      <c r="H8">
        <v>53.71</v>
      </c>
      <c r="I8">
        <v>53.71</v>
      </c>
    </row>
    <row r="9" spans="1:9" x14ac:dyDescent="0.25">
      <c r="A9" s="240" t="s">
        <v>482</v>
      </c>
      <c r="E9">
        <v>180.26</v>
      </c>
      <c r="G9">
        <v>188.45</v>
      </c>
      <c r="H9">
        <v>903.33999999999992</v>
      </c>
      <c r="I9">
        <v>1272.05</v>
      </c>
    </row>
    <row r="10" spans="1:9" x14ac:dyDescent="0.25">
      <c r="A10" s="240" t="s">
        <v>684</v>
      </c>
      <c r="H10">
        <v>975</v>
      </c>
      <c r="I10">
        <v>975</v>
      </c>
    </row>
    <row r="11" spans="1:9" x14ac:dyDescent="0.25">
      <c r="A11" t="s">
        <v>912</v>
      </c>
      <c r="G11">
        <v>145.84</v>
      </c>
      <c r="I11">
        <v>145.84</v>
      </c>
    </row>
    <row r="12" spans="1:9" x14ac:dyDescent="0.25">
      <c r="A12" s="240" t="s">
        <v>451</v>
      </c>
      <c r="G12">
        <v>145.84</v>
      </c>
      <c r="I12">
        <v>145.84</v>
      </c>
    </row>
    <row r="13" spans="1:9" x14ac:dyDescent="0.25">
      <c r="A13" t="s">
        <v>87</v>
      </c>
      <c r="H13">
        <v>61.98</v>
      </c>
      <c r="I13">
        <v>61.98</v>
      </c>
    </row>
    <row r="14" spans="1:9" x14ac:dyDescent="0.25">
      <c r="A14" s="240" t="s">
        <v>624</v>
      </c>
      <c r="H14">
        <v>61.98</v>
      </c>
      <c r="I14">
        <v>61.98</v>
      </c>
    </row>
    <row r="15" spans="1:9" x14ac:dyDescent="0.25">
      <c r="A15" t="s">
        <v>10</v>
      </c>
      <c r="E15">
        <v>443.55</v>
      </c>
      <c r="G15">
        <v>1551.5</v>
      </c>
      <c r="H15">
        <v>2659.45</v>
      </c>
      <c r="I15">
        <v>4654.5</v>
      </c>
    </row>
    <row r="16" spans="1:9" x14ac:dyDescent="0.25">
      <c r="A16" s="240" t="s">
        <v>471</v>
      </c>
      <c r="E16">
        <v>443.55</v>
      </c>
      <c r="G16">
        <v>1479.54</v>
      </c>
      <c r="H16">
        <v>2515.5299999999997</v>
      </c>
      <c r="I16">
        <v>4438.62</v>
      </c>
    </row>
    <row r="17" spans="1:9" x14ac:dyDescent="0.25">
      <c r="A17" s="240" t="s">
        <v>501</v>
      </c>
      <c r="G17">
        <v>71.959999999999994</v>
      </c>
      <c r="H17">
        <v>143.91999999999999</v>
      </c>
      <c r="I17">
        <v>215.88</v>
      </c>
    </row>
    <row r="18" spans="1:9" x14ac:dyDescent="0.25">
      <c r="A18" t="s">
        <v>101</v>
      </c>
      <c r="H18">
        <v>3280</v>
      </c>
      <c r="I18">
        <v>3280</v>
      </c>
    </row>
    <row r="19" spans="1:9" x14ac:dyDescent="0.25">
      <c r="A19" s="240" t="s">
        <v>526</v>
      </c>
      <c r="H19">
        <v>3280</v>
      </c>
      <c r="I19">
        <v>3280</v>
      </c>
    </row>
    <row r="20" spans="1:9" x14ac:dyDescent="0.25">
      <c r="A20" t="s">
        <v>100</v>
      </c>
      <c r="C20">
        <v>65.56</v>
      </c>
      <c r="G20">
        <v>684.22</v>
      </c>
      <c r="I20">
        <v>749.78</v>
      </c>
    </row>
    <row r="21" spans="1:9" x14ac:dyDescent="0.25">
      <c r="A21" s="240" t="s">
        <v>501</v>
      </c>
      <c r="C21">
        <v>65.56</v>
      </c>
      <c r="G21">
        <v>684.22</v>
      </c>
      <c r="I21">
        <v>749.78</v>
      </c>
    </row>
    <row r="22" spans="1:9" x14ac:dyDescent="0.25">
      <c r="A22" t="s">
        <v>102</v>
      </c>
      <c r="H22">
        <v>2242.13</v>
      </c>
      <c r="I22">
        <v>2242.13</v>
      </c>
    </row>
    <row r="23" spans="1:9" x14ac:dyDescent="0.25">
      <c r="A23" t="s">
        <v>160</v>
      </c>
      <c r="F23">
        <v>17311.370000000003</v>
      </c>
      <c r="H23">
        <v>13072.029999999999</v>
      </c>
      <c r="I23">
        <v>30383.4</v>
      </c>
    </row>
    <row r="24" spans="1:9" x14ac:dyDescent="0.25">
      <c r="A24" t="s">
        <v>177</v>
      </c>
      <c r="C24">
        <v>8938.5</v>
      </c>
      <c r="I24">
        <v>8938.5</v>
      </c>
    </row>
    <row r="25" spans="1:9" x14ac:dyDescent="0.25">
      <c r="A25" t="s">
        <v>59</v>
      </c>
      <c r="E25">
        <v>104.3</v>
      </c>
      <c r="G25">
        <v>474</v>
      </c>
      <c r="H25">
        <v>1319.6</v>
      </c>
      <c r="I25">
        <v>1897.8999999999999</v>
      </c>
    </row>
    <row r="26" spans="1:9" x14ac:dyDescent="0.25">
      <c r="A26" t="s">
        <v>55</v>
      </c>
      <c r="G26">
        <v>594.54999999999995</v>
      </c>
      <c r="H26">
        <v>755.77</v>
      </c>
      <c r="I26">
        <v>1350.32</v>
      </c>
    </row>
    <row r="27" spans="1:9" x14ac:dyDescent="0.25">
      <c r="A27" s="240" t="s">
        <v>552</v>
      </c>
      <c r="H27">
        <v>106.3</v>
      </c>
      <c r="I27">
        <v>106.3</v>
      </c>
    </row>
    <row r="28" spans="1:9" x14ac:dyDescent="0.25">
      <c r="A28" s="240" t="s">
        <v>544</v>
      </c>
      <c r="H28">
        <v>80</v>
      </c>
      <c r="I28">
        <v>80</v>
      </c>
    </row>
    <row r="29" spans="1:9" x14ac:dyDescent="0.25">
      <c r="A29" s="240" t="s">
        <v>549</v>
      </c>
      <c r="G29">
        <v>594.54999999999995</v>
      </c>
      <c r="H29">
        <v>569.47</v>
      </c>
      <c r="I29">
        <v>1164.02</v>
      </c>
    </row>
    <row r="30" spans="1:9" x14ac:dyDescent="0.25">
      <c r="A30" t="s">
        <v>84</v>
      </c>
      <c r="B30">
        <v>9070.16</v>
      </c>
      <c r="G30">
        <v>47533.64</v>
      </c>
      <c r="I30">
        <v>56603.8</v>
      </c>
    </row>
    <row r="31" spans="1:9" x14ac:dyDescent="0.25">
      <c r="A31" t="s">
        <v>8</v>
      </c>
      <c r="G31">
        <v>112.85</v>
      </c>
      <c r="H31">
        <v>3809.54</v>
      </c>
      <c r="I31">
        <v>3922.39</v>
      </c>
    </row>
    <row r="32" spans="1:9" x14ac:dyDescent="0.25">
      <c r="A32" t="s">
        <v>142</v>
      </c>
      <c r="G32">
        <v>1907.2099999999998</v>
      </c>
      <c r="H32">
        <v>12585.97</v>
      </c>
      <c r="I32">
        <v>14493.179999999998</v>
      </c>
    </row>
    <row r="33" spans="1:9" x14ac:dyDescent="0.25">
      <c r="A33" t="s">
        <v>156</v>
      </c>
      <c r="H33">
        <v>16940</v>
      </c>
      <c r="I33">
        <v>16940</v>
      </c>
    </row>
    <row r="34" spans="1:9" x14ac:dyDescent="0.25">
      <c r="A34" t="s">
        <v>89</v>
      </c>
      <c r="B34">
        <v>287.98</v>
      </c>
      <c r="C34">
        <v>428.1</v>
      </c>
      <c r="E34">
        <v>6108.08</v>
      </c>
      <c r="G34">
        <v>1016.25</v>
      </c>
      <c r="H34">
        <v>6052.21</v>
      </c>
      <c r="I34">
        <v>13892.620000000003</v>
      </c>
    </row>
    <row r="35" spans="1:9" x14ac:dyDescent="0.25">
      <c r="A35" s="240" t="s">
        <v>762</v>
      </c>
      <c r="H35">
        <v>1813.5800000000002</v>
      </c>
      <c r="I35">
        <v>1813.5800000000002</v>
      </c>
    </row>
    <row r="36" spans="1:9" x14ac:dyDescent="0.25">
      <c r="A36" s="240" t="s">
        <v>546</v>
      </c>
      <c r="G36">
        <v>1016.25</v>
      </c>
      <c r="H36">
        <v>417.45</v>
      </c>
      <c r="I36">
        <v>1433.7</v>
      </c>
    </row>
    <row r="37" spans="1:9" x14ac:dyDescent="0.25">
      <c r="A37" s="240" t="s">
        <v>618</v>
      </c>
      <c r="B37">
        <v>287.98</v>
      </c>
      <c r="E37">
        <v>2226.4</v>
      </c>
      <c r="H37">
        <v>287.98</v>
      </c>
      <c r="I37">
        <v>2802.36</v>
      </c>
    </row>
    <row r="38" spans="1:9" x14ac:dyDescent="0.25">
      <c r="A38" s="240" t="s">
        <v>468</v>
      </c>
      <c r="E38">
        <v>3702.6</v>
      </c>
      <c r="H38">
        <v>3085.5</v>
      </c>
      <c r="I38">
        <v>6788.1</v>
      </c>
    </row>
    <row r="39" spans="1:9" x14ac:dyDescent="0.25">
      <c r="A39" s="240" t="s">
        <v>485</v>
      </c>
      <c r="C39">
        <v>428.1</v>
      </c>
      <c r="E39">
        <v>179.08</v>
      </c>
      <c r="H39">
        <v>447.70000000000005</v>
      </c>
      <c r="I39">
        <v>1054.8800000000001</v>
      </c>
    </row>
    <row r="40" spans="1:9" x14ac:dyDescent="0.25">
      <c r="A40" t="s">
        <v>48</v>
      </c>
      <c r="E40">
        <v>3080.6499999999996</v>
      </c>
      <c r="G40">
        <v>12420.42</v>
      </c>
      <c r="H40">
        <v>15403.249999999998</v>
      </c>
      <c r="I40">
        <v>30904.32</v>
      </c>
    </row>
    <row r="41" spans="1:9" x14ac:dyDescent="0.25">
      <c r="A41" t="s">
        <v>73</v>
      </c>
      <c r="G41">
        <v>875.82999999999993</v>
      </c>
      <c r="H41">
        <v>841.06999999999994</v>
      </c>
      <c r="I41">
        <v>1716.8999999999999</v>
      </c>
    </row>
    <row r="42" spans="1:9" x14ac:dyDescent="0.25">
      <c r="A42" t="s">
        <v>23</v>
      </c>
      <c r="B42">
        <v>3853.85</v>
      </c>
      <c r="I42">
        <v>3853.85</v>
      </c>
    </row>
    <row r="43" spans="1:9" x14ac:dyDescent="0.25">
      <c r="A43" s="240" t="s">
        <v>618</v>
      </c>
      <c r="B43">
        <v>3853.85</v>
      </c>
      <c r="I43">
        <v>3853.85</v>
      </c>
    </row>
    <row r="44" spans="1:9" x14ac:dyDescent="0.25">
      <c r="A44" t="s">
        <v>35</v>
      </c>
      <c r="H44">
        <v>169600</v>
      </c>
      <c r="I44">
        <v>169600</v>
      </c>
    </row>
    <row r="45" spans="1:9" x14ac:dyDescent="0.25">
      <c r="A45" t="s">
        <v>900</v>
      </c>
      <c r="H45">
        <v>174.9</v>
      </c>
      <c r="I45">
        <v>174.9</v>
      </c>
    </row>
    <row r="46" spans="1:9" x14ac:dyDescent="0.25">
      <c r="A46" t="s">
        <v>144</v>
      </c>
      <c r="G46">
        <v>1446.6200000000001</v>
      </c>
      <c r="H46">
        <v>2915.34</v>
      </c>
      <c r="I46">
        <v>4361.96</v>
      </c>
    </row>
    <row r="47" spans="1:9" x14ac:dyDescent="0.25">
      <c r="A47" t="s">
        <v>36</v>
      </c>
      <c r="H47">
        <v>3536</v>
      </c>
      <c r="I47">
        <v>3536</v>
      </c>
    </row>
    <row r="48" spans="1:9" x14ac:dyDescent="0.25">
      <c r="A48" t="s">
        <v>64</v>
      </c>
      <c r="E48">
        <v>107.02</v>
      </c>
      <c r="G48">
        <v>458.23999999999995</v>
      </c>
      <c r="H48">
        <v>707.96999999999991</v>
      </c>
      <c r="I48">
        <v>1273.23</v>
      </c>
    </row>
    <row r="49" spans="1:9" x14ac:dyDescent="0.25">
      <c r="A49" t="s">
        <v>149</v>
      </c>
      <c r="G49">
        <v>7512.14</v>
      </c>
      <c r="H49">
        <v>12408.55</v>
      </c>
      <c r="I49">
        <v>19920.689999999999</v>
      </c>
    </row>
    <row r="50" spans="1:9" x14ac:dyDescent="0.25">
      <c r="A50" s="240" t="s">
        <v>517</v>
      </c>
      <c r="G50">
        <v>2420</v>
      </c>
      <c r="H50">
        <v>12408.55</v>
      </c>
      <c r="I50">
        <v>14828.55</v>
      </c>
    </row>
    <row r="51" spans="1:9" x14ac:dyDescent="0.25">
      <c r="A51" s="240" t="s">
        <v>799</v>
      </c>
      <c r="G51">
        <v>5092.1400000000003</v>
      </c>
      <c r="I51">
        <v>5092.1400000000003</v>
      </c>
    </row>
    <row r="52" spans="1:9" x14ac:dyDescent="0.25">
      <c r="A52" t="s">
        <v>924</v>
      </c>
      <c r="G52">
        <v>1488.3000000000002</v>
      </c>
      <c r="H52">
        <v>677.6</v>
      </c>
      <c r="I52">
        <v>2165.9</v>
      </c>
    </row>
    <row r="53" spans="1:9" x14ac:dyDescent="0.25">
      <c r="A53" t="s">
        <v>75</v>
      </c>
      <c r="H53">
        <v>215.33</v>
      </c>
      <c r="I53">
        <v>215.33</v>
      </c>
    </row>
    <row r="54" spans="1:9" x14ac:dyDescent="0.25">
      <c r="A54" t="s">
        <v>34</v>
      </c>
      <c r="H54">
        <v>1265.1199999999999</v>
      </c>
      <c r="I54">
        <v>1265.1199999999999</v>
      </c>
    </row>
    <row r="55" spans="1:9" x14ac:dyDescent="0.25">
      <c r="A55" s="240" t="s">
        <v>675</v>
      </c>
      <c r="H55">
        <v>1265.1199999999999</v>
      </c>
      <c r="I55">
        <v>1265.1199999999999</v>
      </c>
    </row>
    <row r="56" spans="1:9" x14ac:dyDescent="0.25">
      <c r="A56" t="s">
        <v>925</v>
      </c>
      <c r="B56">
        <v>13211.99</v>
      </c>
      <c r="C56">
        <v>9432.16</v>
      </c>
      <c r="D56">
        <v>148741.04999999999</v>
      </c>
      <c r="E56">
        <v>10076.969999999999</v>
      </c>
      <c r="F56">
        <v>17311.370000000003</v>
      </c>
      <c r="G56">
        <v>317381.03000000003</v>
      </c>
      <c r="H56">
        <v>651877.55999999994</v>
      </c>
      <c r="I56">
        <v>1168032.1299999999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C5FE3-E9A6-4803-BE51-5F97506985DA}">
  <dimension ref="A1:H25"/>
  <sheetViews>
    <sheetView workbookViewId="0">
      <selection sqref="A1:A2"/>
    </sheetView>
  </sheetViews>
  <sheetFormatPr baseColWidth="10" defaultColWidth="9.33203125" defaultRowHeight="13.2" x14ac:dyDescent="0.25"/>
  <cols>
    <col min="2" max="2" width="10.44140625" bestFit="1" customWidth="1"/>
    <col min="3" max="3" width="9.6640625" bestFit="1" customWidth="1"/>
    <col min="6" max="6" width="10.44140625" bestFit="1" customWidth="1"/>
    <col min="8" max="8" width="11.6640625" bestFit="1" customWidth="1"/>
  </cols>
  <sheetData>
    <row r="1" spans="1:8" ht="14.4" x14ac:dyDescent="0.3">
      <c r="A1" s="521" t="s">
        <v>382</v>
      </c>
      <c r="B1" s="521" t="s">
        <v>383</v>
      </c>
      <c r="C1" s="521"/>
      <c r="D1" s="521" t="s">
        <v>384</v>
      </c>
      <c r="E1" s="519" t="s">
        <v>399</v>
      </c>
      <c r="F1" s="520"/>
      <c r="G1" s="519" t="s">
        <v>400</v>
      </c>
      <c r="H1" s="520"/>
    </row>
    <row r="2" spans="1:8" ht="27.6" x14ac:dyDescent="0.3">
      <c r="A2" s="521"/>
      <c r="B2" s="144" t="s">
        <v>386</v>
      </c>
      <c r="C2" s="144" t="s">
        <v>387</v>
      </c>
      <c r="D2" s="521"/>
      <c r="E2" s="145">
        <v>100</v>
      </c>
      <c r="F2" s="145">
        <v>470</v>
      </c>
      <c r="G2" s="145">
        <v>100</v>
      </c>
      <c r="H2" s="145">
        <v>490</v>
      </c>
    </row>
    <row r="3" spans="1:8" ht="14.4" x14ac:dyDescent="0.3">
      <c r="A3" s="144" t="s">
        <v>388</v>
      </c>
      <c r="B3" s="146">
        <v>90</v>
      </c>
      <c r="C3" s="146">
        <v>919</v>
      </c>
      <c r="D3" s="146">
        <v>1009</v>
      </c>
      <c r="E3" s="145"/>
      <c r="F3" s="145"/>
      <c r="G3" s="145"/>
      <c r="H3" s="145"/>
    </row>
    <row r="4" spans="1:8" ht="41.4" x14ac:dyDescent="0.3">
      <c r="A4" s="144" t="s">
        <v>389</v>
      </c>
      <c r="B4" s="146">
        <v>110</v>
      </c>
      <c r="C4" s="146">
        <v>1139</v>
      </c>
      <c r="D4" s="146">
        <v>1249</v>
      </c>
      <c r="E4" s="145"/>
      <c r="F4" s="145"/>
      <c r="G4" s="145"/>
      <c r="H4" s="145"/>
    </row>
    <row r="5" spans="1:8" ht="27.6" x14ac:dyDescent="0.3">
      <c r="A5" s="144" t="s">
        <v>390</v>
      </c>
      <c r="B5" s="146">
        <v>242</v>
      </c>
      <c r="C5" s="146">
        <v>1738</v>
      </c>
      <c r="D5" s="146">
        <v>1980</v>
      </c>
      <c r="E5" s="145"/>
      <c r="F5" s="145"/>
      <c r="G5" s="145"/>
      <c r="H5" s="145"/>
    </row>
    <row r="6" spans="1:8" ht="27.6" x14ac:dyDescent="0.3">
      <c r="A6" s="144" t="s">
        <v>391</v>
      </c>
      <c r="B6" s="146">
        <v>266</v>
      </c>
      <c r="C6" s="146">
        <v>2223</v>
      </c>
      <c r="D6" s="146">
        <v>2489</v>
      </c>
      <c r="E6" s="145"/>
      <c r="F6" s="145"/>
      <c r="G6" s="145"/>
      <c r="H6" s="145"/>
    </row>
    <row r="7" spans="1:8" ht="41.4" x14ac:dyDescent="0.3">
      <c r="A7" s="144" t="s">
        <v>392</v>
      </c>
      <c r="B7" s="146">
        <v>277</v>
      </c>
      <c r="C7" s="146">
        <v>2059</v>
      </c>
      <c r="D7" s="146">
        <v>2336</v>
      </c>
      <c r="E7" s="145"/>
      <c r="F7" s="145"/>
      <c r="G7" s="145"/>
      <c r="H7" s="145"/>
    </row>
    <row r="8" spans="1:8" ht="27.6" x14ac:dyDescent="0.3">
      <c r="A8" s="144" t="s">
        <v>393</v>
      </c>
      <c r="B8" s="146">
        <v>985</v>
      </c>
      <c r="C8" s="146">
        <v>8078</v>
      </c>
      <c r="D8" s="146">
        <v>9063</v>
      </c>
      <c r="E8" s="147">
        <f>B8*E2</f>
        <v>98500</v>
      </c>
      <c r="F8" s="147">
        <f>C8*F2</f>
        <v>3796660</v>
      </c>
      <c r="G8" s="147">
        <f>B8*G2</f>
        <v>98500</v>
      </c>
      <c r="H8" s="147">
        <f>C8*H2</f>
        <v>3958220</v>
      </c>
    </row>
    <row r="9" spans="1:8" x14ac:dyDescent="0.25">
      <c r="A9" s="22"/>
      <c r="B9" s="22"/>
      <c r="C9" s="22"/>
      <c r="D9" s="22"/>
      <c r="E9" s="22"/>
      <c r="F9" s="22"/>
    </row>
    <row r="10" spans="1:8" x14ac:dyDescent="0.25">
      <c r="A10" s="22"/>
      <c r="B10" s="22"/>
      <c r="C10" s="22"/>
      <c r="D10" s="22"/>
      <c r="E10" s="22"/>
      <c r="F10" s="22"/>
    </row>
    <row r="11" spans="1:8" ht="41.4" x14ac:dyDescent="0.25">
      <c r="A11" s="148" t="s">
        <v>394</v>
      </c>
      <c r="B11" s="22"/>
      <c r="C11" s="22"/>
      <c r="D11" s="22"/>
      <c r="E11" s="22"/>
      <c r="F11" s="22"/>
    </row>
    <row r="12" spans="1:8" x14ac:dyDescent="0.25">
      <c r="A12" s="22"/>
      <c r="B12" s="22"/>
      <c r="C12" s="22"/>
      <c r="D12" s="22"/>
      <c r="E12" s="22"/>
      <c r="F12" s="22"/>
    </row>
    <row r="13" spans="1:8" x14ac:dyDescent="0.25">
      <c r="A13" s="22"/>
      <c r="B13" s="22"/>
      <c r="C13" s="22"/>
      <c r="D13" s="22"/>
      <c r="E13" s="22"/>
      <c r="F13" s="22"/>
    </row>
    <row r="14" spans="1:8" x14ac:dyDescent="0.25">
      <c r="A14" s="22" t="s">
        <v>395</v>
      </c>
      <c r="B14" s="22"/>
      <c r="C14" s="22"/>
      <c r="D14" s="22"/>
      <c r="E14" s="22"/>
      <c r="F14" s="22"/>
    </row>
    <row r="15" spans="1:8" ht="27.6" x14ac:dyDescent="0.3">
      <c r="A15" s="521" t="s">
        <v>382</v>
      </c>
      <c r="B15" s="144" t="s">
        <v>396</v>
      </c>
      <c r="C15" s="521" t="s">
        <v>384</v>
      </c>
      <c r="D15" s="145" t="s">
        <v>385</v>
      </c>
      <c r="E15" s="22"/>
      <c r="F15" s="22"/>
    </row>
    <row r="16" spans="1:8" ht="14.4" x14ac:dyDescent="0.3">
      <c r="A16" s="521"/>
      <c r="B16" s="144" t="s">
        <v>397</v>
      </c>
      <c r="C16" s="521"/>
      <c r="D16" s="145">
        <v>100</v>
      </c>
      <c r="E16" s="22"/>
      <c r="F16" s="22"/>
    </row>
    <row r="17" spans="1:6" ht="14.4" x14ac:dyDescent="0.3">
      <c r="A17" s="144" t="s">
        <v>388</v>
      </c>
      <c r="B17" s="146">
        <v>303</v>
      </c>
      <c r="C17" s="146">
        <v>303</v>
      </c>
      <c r="D17" s="145"/>
      <c r="E17" s="22"/>
      <c r="F17" s="22"/>
    </row>
    <row r="18" spans="1:6" ht="41.4" x14ac:dyDescent="0.3">
      <c r="A18" s="144" t="s">
        <v>389</v>
      </c>
      <c r="B18" s="146">
        <v>443</v>
      </c>
      <c r="C18" s="146">
        <v>443</v>
      </c>
      <c r="D18" s="145"/>
      <c r="E18" s="22"/>
      <c r="F18" s="22"/>
    </row>
    <row r="19" spans="1:6" ht="27.6" x14ac:dyDescent="0.3">
      <c r="A19" s="144" t="s">
        <v>390</v>
      </c>
      <c r="B19" s="146">
        <v>471</v>
      </c>
      <c r="C19" s="146">
        <v>471</v>
      </c>
      <c r="D19" s="145"/>
      <c r="E19" s="22"/>
      <c r="F19" s="22"/>
    </row>
    <row r="20" spans="1:6" ht="41.4" x14ac:dyDescent="0.3">
      <c r="A20" s="144" t="s">
        <v>392</v>
      </c>
      <c r="B20" s="146">
        <v>670</v>
      </c>
      <c r="C20" s="146">
        <v>670</v>
      </c>
      <c r="D20" s="145"/>
      <c r="E20" s="22"/>
      <c r="F20" s="22"/>
    </row>
    <row r="21" spans="1:6" ht="27.6" x14ac:dyDescent="0.3">
      <c r="A21" s="144" t="s">
        <v>391</v>
      </c>
      <c r="B21" s="146">
        <v>714</v>
      </c>
      <c r="C21" s="146">
        <v>714</v>
      </c>
      <c r="D21" s="145"/>
      <c r="E21" s="22"/>
      <c r="F21" s="22"/>
    </row>
    <row r="22" spans="1:6" ht="27.6" x14ac:dyDescent="0.3">
      <c r="A22" s="144" t="s">
        <v>393</v>
      </c>
      <c r="B22" s="146">
        <v>2601</v>
      </c>
      <c r="C22" s="146">
        <v>2601</v>
      </c>
      <c r="D22" s="147">
        <f>C22*D16</f>
        <v>260100</v>
      </c>
      <c r="E22" s="22"/>
      <c r="F22" s="22"/>
    </row>
    <row r="23" spans="1:6" x14ac:dyDescent="0.25">
      <c r="A23" s="22"/>
      <c r="B23" s="22"/>
      <c r="C23" s="22"/>
      <c r="D23" s="22"/>
      <c r="E23" s="22"/>
      <c r="F23" s="22"/>
    </row>
    <row r="24" spans="1:6" x14ac:dyDescent="0.25">
      <c r="A24" s="22"/>
      <c r="B24" s="150" t="s">
        <v>401</v>
      </c>
      <c r="C24" s="150" t="s">
        <v>402</v>
      </c>
      <c r="D24" s="22"/>
      <c r="E24" s="22"/>
      <c r="F24" s="22"/>
    </row>
    <row r="25" spans="1:6" ht="69" x14ac:dyDescent="0.3">
      <c r="A25" s="148" t="s">
        <v>398</v>
      </c>
      <c r="B25" s="149">
        <f>SUM(D22,E8,F8)</f>
        <v>4155260</v>
      </c>
      <c r="C25" s="151">
        <f>D22+H8</f>
        <v>4218320</v>
      </c>
      <c r="D25" s="22"/>
      <c r="E25" s="22"/>
      <c r="F25" s="22"/>
    </row>
  </sheetData>
  <mergeCells count="7">
    <mergeCell ref="G1:H1"/>
    <mergeCell ref="A1:A2"/>
    <mergeCell ref="B1:C1"/>
    <mergeCell ref="D1:D2"/>
    <mergeCell ref="A15:A16"/>
    <mergeCell ref="C15:C16"/>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C8F57-EDEF-4A08-B7E2-1768FCB697A7}">
  <dimension ref="A1"/>
  <sheetViews>
    <sheetView workbookViewId="0"/>
  </sheetViews>
  <sheetFormatPr baseColWidth="10"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CA08-C6A8-45BA-9627-01FB0782CC4B}">
  <sheetPr>
    <tabColor theme="1"/>
  </sheetPr>
  <dimension ref="A1:L147"/>
  <sheetViews>
    <sheetView zoomScale="130" zoomScaleNormal="130" workbookViewId="0"/>
  </sheetViews>
  <sheetFormatPr baseColWidth="10" defaultColWidth="9.33203125" defaultRowHeight="13.2" x14ac:dyDescent="0.25"/>
  <cols>
    <col min="1" max="1" width="61" bestFit="1" customWidth="1"/>
    <col min="2" max="2" width="10.33203125" bestFit="1" customWidth="1"/>
    <col min="3" max="4" width="10.77734375" bestFit="1" customWidth="1"/>
    <col min="5" max="12" width="0" hidden="1" customWidth="1"/>
  </cols>
  <sheetData>
    <row r="1" spans="1:12" ht="26.4" x14ac:dyDescent="0.25">
      <c r="A1" s="311" t="s">
        <v>260</v>
      </c>
      <c r="B1" s="312">
        <v>2022</v>
      </c>
      <c r="C1" s="313">
        <v>2023</v>
      </c>
      <c r="D1" s="314">
        <v>2024</v>
      </c>
      <c r="E1" s="315"/>
      <c r="F1" s="315"/>
      <c r="G1" s="315"/>
      <c r="H1" s="315"/>
      <c r="I1" s="315"/>
      <c r="J1" s="315"/>
      <c r="K1" s="316"/>
      <c r="L1" s="317" t="s">
        <v>1016</v>
      </c>
    </row>
    <row r="2" spans="1:12" ht="14.4" x14ac:dyDescent="0.25">
      <c r="A2" s="318" t="s">
        <v>263</v>
      </c>
      <c r="B2" s="319" t="s">
        <v>264</v>
      </c>
      <c r="C2" s="319" t="s">
        <v>264</v>
      </c>
      <c r="D2" s="319" t="s">
        <v>264</v>
      </c>
      <c r="E2" s="320" t="s">
        <v>265</v>
      </c>
      <c r="F2" s="320" t="s">
        <v>266</v>
      </c>
      <c r="G2" s="320" t="s">
        <v>267</v>
      </c>
      <c r="H2" s="320" t="s">
        <v>268</v>
      </c>
      <c r="I2" s="320" t="s">
        <v>269</v>
      </c>
      <c r="J2" s="320" t="s">
        <v>270</v>
      </c>
      <c r="K2" s="321" t="s">
        <v>271</v>
      </c>
      <c r="L2" s="322"/>
    </row>
    <row r="3" spans="1:12" ht="14.4" x14ac:dyDescent="0.25">
      <c r="A3" s="323" t="s">
        <v>272</v>
      </c>
      <c r="B3" s="324">
        <v>295045</v>
      </c>
      <c r="C3" s="324">
        <v>279044</v>
      </c>
      <c r="D3" s="324">
        <v>234902</v>
      </c>
      <c r="E3" s="324">
        <v>0</v>
      </c>
      <c r="F3" s="325">
        <v>0</v>
      </c>
      <c r="G3" s="325">
        <v>0</v>
      </c>
      <c r="H3" s="325">
        <v>0</v>
      </c>
      <c r="I3" s="325">
        <v>0</v>
      </c>
      <c r="J3" s="325">
        <v>0</v>
      </c>
      <c r="K3" s="324">
        <v>0</v>
      </c>
      <c r="L3" s="326"/>
    </row>
    <row r="4" spans="1:12" ht="14.4" x14ac:dyDescent="0.3">
      <c r="A4" s="327" t="s">
        <v>273</v>
      </c>
      <c r="B4" s="328">
        <v>295045</v>
      </c>
      <c r="C4" s="328">
        <v>279044</v>
      </c>
      <c r="D4" s="329">
        <v>234902</v>
      </c>
      <c r="E4" s="328">
        <v>0</v>
      </c>
      <c r="F4" s="329">
        <v>0</v>
      </c>
      <c r="G4" s="330"/>
      <c r="H4" s="330"/>
      <c r="I4" s="330"/>
      <c r="J4" s="330"/>
      <c r="K4" s="331"/>
      <c r="L4" s="322"/>
    </row>
    <row r="5" spans="1:12" ht="14.4" x14ac:dyDescent="0.25">
      <c r="A5" s="323" t="s">
        <v>46</v>
      </c>
      <c r="B5" s="325">
        <v>221717</v>
      </c>
      <c r="C5" s="325">
        <v>242403.4</v>
      </c>
      <c r="D5" s="325">
        <v>271494</v>
      </c>
      <c r="E5" s="325">
        <v>90420</v>
      </c>
      <c r="F5" s="325">
        <v>181074</v>
      </c>
      <c r="G5" s="325">
        <v>85660</v>
      </c>
      <c r="H5" s="325">
        <v>45310</v>
      </c>
      <c r="I5" s="325">
        <v>18430</v>
      </c>
      <c r="J5" s="325">
        <v>7507</v>
      </c>
      <c r="K5" s="324">
        <v>24167</v>
      </c>
      <c r="L5" s="326"/>
    </row>
    <row r="6" spans="1:12" ht="14.4" x14ac:dyDescent="0.3">
      <c r="A6" s="332" t="s">
        <v>274</v>
      </c>
      <c r="B6" s="328">
        <v>154525</v>
      </c>
      <c r="C6" s="328">
        <v>170062.4</v>
      </c>
      <c r="D6" s="328">
        <v>191062</v>
      </c>
      <c r="E6" s="333">
        <v>76000</v>
      </c>
      <c r="F6" s="329">
        <v>115062</v>
      </c>
      <c r="G6" s="333">
        <v>76000</v>
      </c>
      <c r="H6" s="333">
        <v>39062</v>
      </c>
      <c r="I6" s="333">
        <v>0</v>
      </c>
      <c r="J6" s="333">
        <v>0</v>
      </c>
      <c r="K6" s="333">
        <v>0</v>
      </c>
      <c r="L6" s="322">
        <v>1</v>
      </c>
    </row>
    <row r="7" spans="1:12" ht="14.4" x14ac:dyDescent="0.3">
      <c r="A7" s="327" t="s">
        <v>275</v>
      </c>
      <c r="B7" s="328">
        <v>8080</v>
      </c>
      <c r="C7" s="328">
        <v>8161</v>
      </c>
      <c r="D7" s="328">
        <v>9770</v>
      </c>
      <c r="E7" s="333">
        <v>0</v>
      </c>
      <c r="F7" s="329">
        <v>9770</v>
      </c>
      <c r="G7" s="333">
        <v>0</v>
      </c>
      <c r="H7" s="333">
        <v>0</v>
      </c>
      <c r="I7" s="333">
        <v>9770</v>
      </c>
      <c r="J7" s="333">
        <v>0</v>
      </c>
      <c r="K7" s="333">
        <v>0</v>
      </c>
      <c r="L7" s="322">
        <v>1.0429999999999999</v>
      </c>
    </row>
    <row r="8" spans="1:12" ht="14.4" x14ac:dyDescent="0.3">
      <c r="A8" s="327" t="s">
        <v>276</v>
      </c>
      <c r="B8" s="328">
        <v>11550</v>
      </c>
      <c r="C8" s="328">
        <v>17325</v>
      </c>
      <c r="D8" s="328">
        <v>18070</v>
      </c>
      <c r="E8" s="333">
        <v>0</v>
      </c>
      <c r="F8" s="329">
        <v>18070</v>
      </c>
      <c r="G8" s="333">
        <v>0</v>
      </c>
      <c r="H8" s="333">
        <v>0</v>
      </c>
      <c r="I8" s="333">
        <v>2065</v>
      </c>
      <c r="J8" s="333">
        <v>1893</v>
      </c>
      <c r="K8" s="333">
        <v>14112</v>
      </c>
      <c r="L8" s="322">
        <v>1.0429999999999999</v>
      </c>
    </row>
    <row r="9" spans="1:12" ht="14.4" x14ac:dyDescent="0.3">
      <c r="A9" s="332" t="s">
        <v>277</v>
      </c>
      <c r="B9" s="328">
        <v>42331</v>
      </c>
      <c r="C9" s="328">
        <v>42755</v>
      </c>
      <c r="D9" s="328">
        <v>48492</v>
      </c>
      <c r="E9" s="333">
        <v>10320</v>
      </c>
      <c r="F9" s="329">
        <v>38172</v>
      </c>
      <c r="G9" s="333">
        <v>9660</v>
      </c>
      <c r="H9" s="333">
        <v>6248</v>
      </c>
      <c r="I9" s="333">
        <v>6595</v>
      </c>
      <c r="J9" s="333">
        <v>5614</v>
      </c>
      <c r="K9" s="333">
        <v>10055</v>
      </c>
      <c r="L9" s="322">
        <v>1</v>
      </c>
    </row>
    <row r="10" spans="1:12" ht="14.4" x14ac:dyDescent="0.3">
      <c r="A10" s="327" t="s">
        <v>278</v>
      </c>
      <c r="B10" s="328">
        <v>3131</v>
      </c>
      <c r="C10" s="328">
        <v>2000</v>
      </c>
      <c r="D10" s="328">
        <v>2000</v>
      </c>
      <c r="E10" s="333">
        <v>2000</v>
      </c>
      <c r="F10" s="329">
        <v>0</v>
      </c>
      <c r="G10" s="333"/>
      <c r="H10" s="333"/>
      <c r="I10" s="333"/>
      <c r="J10" s="333"/>
      <c r="K10" s="334"/>
      <c r="L10" s="322">
        <v>1</v>
      </c>
    </row>
    <row r="11" spans="1:12" ht="14.4" x14ac:dyDescent="0.3">
      <c r="A11" s="332" t="s">
        <v>279</v>
      </c>
      <c r="B11" s="328">
        <v>2100</v>
      </c>
      <c r="C11" s="328">
        <v>2100</v>
      </c>
      <c r="D11" s="328">
        <v>2100</v>
      </c>
      <c r="E11" s="333">
        <v>2100</v>
      </c>
      <c r="F11" s="329">
        <v>0</v>
      </c>
      <c r="G11" s="333"/>
      <c r="H11" s="333"/>
      <c r="I11" s="333"/>
      <c r="J11" s="333"/>
      <c r="K11" s="334"/>
      <c r="L11" s="322">
        <v>1</v>
      </c>
    </row>
    <row r="12" spans="1:12" ht="14.4" x14ac:dyDescent="0.3">
      <c r="A12" s="332" t="s">
        <v>61</v>
      </c>
      <c r="B12" s="328">
        <v>0</v>
      </c>
      <c r="C12" s="328">
        <v>0</v>
      </c>
      <c r="D12" s="328">
        <v>0</v>
      </c>
      <c r="E12" s="333">
        <v>0</v>
      </c>
      <c r="F12" s="329">
        <v>0</v>
      </c>
      <c r="G12" s="333"/>
      <c r="H12" s="333"/>
      <c r="I12" s="333"/>
      <c r="J12" s="333"/>
      <c r="K12" s="334"/>
      <c r="L12" s="322">
        <v>1</v>
      </c>
    </row>
    <row r="13" spans="1:12" ht="14.4" x14ac:dyDescent="0.25">
      <c r="A13" s="323" t="s">
        <v>280</v>
      </c>
      <c r="B13" s="325">
        <v>107006</v>
      </c>
      <c r="C13" s="325">
        <v>109522</v>
      </c>
      <c r="D13" s="325">
        <v>110543</v>
      </c>
      <c r="E13" s="325">
        <v>77696</v>
      </c>
      <c r="F13" s="325">
        <v>32847</v>
      </c>
      <c r="G13" s="325">
        <v>11614</v>
      </c>
      <c r="H13" s="325">
        <v>5672</v>
      </c>
      <c r="I13" s="325">
        <v>5277</v>
      </c>
      <c r="J13" s="325">
        <v>4799</v>
      </c>
      <c r="K13" s="325">
        <v>5485</v>
      </c>
      <c r="L13" s="326"/>
    </row>
    <row r="14" spans="1:12" ht="14.4" x14ac:dyDescent="0.3">
      <c r="A14" s="327" t="s">
        <v>77</v>
      </c>
      <c r="B14" s="328">
        <v>5555</v>
      </c>
      <c r="C14" s="328">
        <v>5611</v>
      </c>
      <c r="D14" s="328">
        <v>8571</v>
      </c>
      <c r="E14" s="333">
        <v>8571</v>
      </c>
      <c r="F14" s="329">
        <v>0</v>
      </c>
      <c r="G14" s="333"/>
      <c r="H14" s="333"/>
      <c r="I14" s="333"/>
      <c r="J14" s="333"/>
      <c r="K14" s="334"/>
      <c r="L14" s="322">
        <v>1.0429999999999999</v>
      </c>
    </row>
    <row r="15" spans="1:12" ht="14.4" x14ac:dyDescent="0.3">
      <c r="A15" s="327" t="s">
        <v>281</v>
      </c>
      <c r="B15" s="328">
        <v>10100</v>
      </c>
      <c r="C15" s="328">
        <v>10200</v>
      </c>
      <c r="D15" s="328">
        <v>5000</v>
      </c>
      <c r="E15" s="333">
        <v>1750</v>
      </c>
      <c r="F15" s="329">
        <v>3250</v>
      </c>
      <c r="G15" s="333">
        <v>1250</v>
      </c>
      <c r="H15" s="333">
        <v>500</v>
      </c>
      <c r="I15" s="333">
        <v>500</v>
      </c>
      <c r="J15" s="333">
        <v>500</v>
      </c>
      <c r="K15" s="333">
        <v>500</v>
      </c>
      <c r="L15" s="322">
        <v>1</v>
      </c>
    </row>
    <row r="16" spans="1:12" ht="14.4" x14ac:dyDescent="0.3">
      <c r="A16" s="332" t="s">
        <v>282</v>
      </c>
      <c r="B16" s="328">
        <v>14140</v>
      </c>
      <c r="C16" s="328">
        <v>14847</v>
      </c>
      <c r="D16" s="328">
        <v>14847</v>
      </c>
      <c r="E16" s="333">
        <v>14847</v>
      </c>
      <c r="F16" s="329">
        <v>0</v>
      </c>
      <c r="G16" s="333"/>
      <c r="H16" s="333"/>
      <c r="I16" s="333"/>
      <c r="J16" s="333"/>
      <c r="K16" s="334"/>
      <c r="L16" s="322">
        <v>1</v>
      </c>
    </row>
    <row r="17" spans="1:12" ht="14.4" x14ac:dyDescent="0.3">
      <c r="A17" s="327" t="s">
        <v>283</v>
      </c>
      <c r="B17" s="328">
        <v>12741</v>
      </c>
      <c r="C17" s="328">
        <v>12868</v>
      </c>
      <c r="D17" s="328">
        <v>12868</v>
      </c>
      <c r="E17" s="333">
        <v>5525</v>
      </c>
      <c r="F17" s="329">
        <v>7343</v>
      </c>
      <c r="G17" s="333">
        <v>1810</v>
      </c>
      <c r="H17" s="333">
        <v>1747</v>
      </c>
      <c r="I17" s="333">
        <v>1352</v>
      </c>
      <c r="J17" s="333">
        <v>874</v>
      </c>
      <c r="K17" s="333">
        <v>1560</v>
      </c>
      <c r="L17" s="322">
        <v>1</v>
      </c>
    </row>
    <row r="18" spans="1:12" ht="14.4" x14ac:dyDescent="0.3">
      <c r="A18" s="327" t="s">
        <v>284</v>
      </c>
      <c r="B18" s="328">
        <v>30300</v>
      </c>
      <c r="C18" s="328">
        <v>30603</v>
      </c>
      <c r="D18" s="328">
        <v>31919</v>
      </c>
      <c r="E18" s="333">
        <v>31919</v>
      </c>
      <c r="F18" s="329">
        <v>0</v>
      </c>
      <c r="G18" s="333"/>
      <c r="H18" s="333"/>
      <c r="I18" s="333"/>
      <c r="J18" s="333"/>
      <c r="K18" s="334"/>
      <c r="L18" s="322">
        <v>1.0429999999999999</v>
      </c>
    </row>
    <row r="19" spans="1:12" ht="14.4" x14ac:dyDescent="0.3">
      <c r="A19" s="327" t="s">
        <v>285</v>
      </c>
      <c r="B19" s="328">
        <v>22050</v>
      </c>
      <c r="C19" s="328">
        <v>23153</v>
      </c>
      <c r="D19" s="335">
        <v>22000</v>
      </c>
      <c r="E19" s="333">
        <v>8390</v>
      </c>
      <c r="F19" s="329">
        <v>13610</v>
      </c>
      <c r="G19" s="333">
        <v>5230</v>
      </c>
      <c r="H19" s="333">
        <v>2095</v>
      </c>
      <c r="I19" s="333">
        <v>2095</v>
      </c>
      <c r="J19" s="333">
        <v>2095</v>
      </c>
      <c r="K19" s="333">
        <v>2095</v>
      </c>
      <c r="L19" s="322">
        <v>1.0429999999999999</v>
      </c>
    </row>
    <row r="20" spans="1:12" ht="14.4" x14ac:dyDescent="0.3">
      <c r="A20" s="332" t="s">
        <v>70</v>
      </c>
      <c r="B20" s="328">
        <v>2020</v>
      </c>
      <c r="C20" s="328">
        <v>2040</v>
      </c>
      <c r="D20" s="328">
        <v>2040</v>
      </c>
      <c r="E20" s="333">
        <v>2040</v>
      </c>
      <c r="F20" s="329">
        <v>0</v>
      </c>
      <c r="G20" s="333"/>
      <c r="H20" s="333"/>
      <c r="I20" s="333"/>
      <c r="J20" s="333"/>
      <c r="K20" s="334"/>
      <c r="L20" s="322">
        <v>1</v>
      </c>
    </row>
    <row r="21" spans="1:12" ht="14.4" x14ac:dyDescent="0.3">
      <c r="A21" s="327" t="s">
        <v>80</v>
      </c>
      <c r="B21" s="328">
        <v>10100</v>
      </c>
      <c r="C21" s="328">
        <v>10200</v>
      </c>
      <c r="D21" s="328">
        <v>13298</v>
      </c>
      <c r="E21" s="333">
        <v>4654</v>
      </c>
      <c r="F21" s="329">
        <v>8644</v>
      </c>
      <c r="G21" s="333">
        <v>3324</v>
      </c>
      <c r="H21" s="333">
        <v>1330</v>
      </c>
      <c r="I21" s="333">
        <v>1330</v>
      </c>
      <c r="J21" s="333">
        <v>1330</v>
      </c>
      <c r="K21" s="333">
        <v>1330</v>
      </c>
      <c r="L21" s="322">
        <v>1.0429999999999999</v>
      </c>
    </row>
    <row r="22" spans="1:12" ht="14.4" x14ac:dyDescent="0.25">
      <c r="A22" s="323" t="s">
        <v>86</v>
      </c>
      <c r="B22" s="325">
        <v>56055</v>
      </c>
      <c r="C22" s="325">
        <v>59181</v>
      </c>
      <c r="D22" s="325">
        <v>40352</v>
      </c>
      <c r="E22" s="325">
        <v>40352</v>
      </c>
      <c r="F22" s="325">
        <v>0</v>
      </c>
      <c r="G22" s="325">
        <v>0</v>
      </c>
      <c r="H22" s="325">
        <v>0</v>
      </c>
      <c r="I22" s="325">
        <v>0</v>
      </c>
      <c r="J22" s="325">
        <v>0</v>
      </c>
      <c r="K22" s="324">
        <v>0</v>
      </c>
      <c r="L22" s="326"/>
    </row>
    <row r="23" spans="1:12" ht="14.4" x14ac:dyDescent="0.3">
      <c r="A23" s="336" t="s">
        <v>287</v>
      </c>
      <c r="B23" s="328">
        <v>41915</v>
      </c>
      <c r="C23" s="328">
        <v>46000</v>
      </c>
      <c r="D23" s="328">
        <v>30000</v>
      </c>
      <c r="E23" s="333">
        <v>30000</v>
      </c>
      <c r="F23" s="329">
        <v>0</v>
      </c>
      <c r="G23" s="330"/>
      <c r="H23" s="330"/>
      <c r="I23" s="330"/>
      <c r="J23" s="330"/>
      <c r="K23" s="331"/>
      <c r="L23" s="322">
        <v>1</v>
      </c>
    </row>
    <row r="24" spans="1:12" ht="14.4" x14ac:dyDescent="0.3">
      <c r="A24" s="336" t="s">
        <v>288</v>
      </c>
      <c r="B24" s="328">
        <v>5050</v>
      </c>
      <c r="C24" s="328">
        <v>4000</v>
      </c>
      <c r="D24" s="328">
        <v>3000</v>
      </c>
      <c r="E24" s="333">
        <v>3000</v>
      </c>
      <c r="F24" s="329">
        <v>0</v>
      </c>
      <c r="G24" s="333"/>
      <c r="H24" s="330"/>
      <c r="I24" s="330"/>
      <c r="J24" s="330"/>
      <c r="K24" s="331"/>
      <c r="L24" s="322">
        <v>1</v>
      </c>
    </row>
    <row r="25" spans="1:12" ht="14.4" x14ac:dyDescent="0.3">
      <c r="A25" s="336" t="s">
        <v>289</v>
      </c>
      <c r="B25" s="328">
        <v>3535</v>
      </c>
      <c r="C25" s="328">
        <v>3570</v>
      </c>
      <c r="D25" s="328">
        <v>1500</v>
      </c>
      <c r="E25" s="333">
        <v>1500</v>
      </c>
      <c r="F25" s="329">
        <v>0</v>
      </c>
      <c r="G25" s="330"/>
      <c r="H25" s="330"/>
      <c r="I25" s="330"/>
      <c r="J25" s="330"/>
      <c r="K25" s="331"/>
      <c r="L25" s="322">
        <v>1</v>
      </c>
    </row>
    <row r="26" spans="1:12" ht="14.4" x14ac:dyDescent="0.3">
      <c r="A26" s="336" t="s">
        <v>290</v>
      </c>
      <c r="B26" s="328">
        <v>5555</v>
      </c>
      <c r="C26" s="328">
        <v>5611</v>
      </c>
      <c r="D26" s="328">
        <v>5852</v>
      </c>
      <c r="E26" s="333">
        <v>5852</v>
      </c>
      <c r="F26" s="329">
        <v>0</v>
      </c>
      <c r="G26" s="333"/>
      <c r="H26" s="333"/>
      <c r="I26" s="333"/>
      <c r="J26" s="333"/>
      <c r="K26" s="334"/>
      <c r="L26" s="322">
        <v>1.0429999999999999</v>
      </c>
    </row>
    <row r="27" spans="1:12" ht="14.4" x14ac:dyDescent="0.25">
      <c r="A27" s="323" t="s">
        <v>96</v>
      </c>
      <c r="B27" s="325">
        <v>8343</v>
      </c>
      <c r="C27" s="325">
        <v>8594</v>
      </c>
      <c r="D27" s="325">
        <v>7813</v>
      </c>
      <c r="E27" s="325">
        <v>3040</v>
      </c>
      <c r="F27" s="325">
        <v>4773</v>
      </c>
      <c r="G27" s="325">
        <v>727</v>
      </c>
      <c r="H27" s="325">
        <v>1140</v>
      </c>
      <c r="I27" s="325">
        <v>518</v>
      </c>
      <c r="J27" s="325">
        <v>623</v>
      </c>
      <c r="K27" s="325">
        <v>1765</v>
      </c>
      <c r="L27" s="326"/>
    </row>
    <row r="28" spans="1:12" ht="14.4" x14ac:dyDescent="0.3">
      <c r="A28" s="327" t="s">
        <v>292</v>
      </c>
      <c r="B28" s="328">
        <v>5459</v>
      </c>
      <c r="C28" s="328">
        <v>5623</v>
      </c>
      <c r="D28" s="328">
        <v>5500</v>
      </c>
      <c r="E28" s="333">
        <v>727</v>
      </c>
      <c r="F28" s="329">
        <v>4773</v>
      </c>
      <c r="G28" s="333">
        <v>727</v>
      </c>
      <c r="H28" s="333">
        <v>1140</v>
      </c>
      <c r="I28" s="333">
        <v>518</v>
      </c>
      <c r="J28" s="333">
        <v>623</v>
      </c>
      <c r="K28" s="333">
        <v>1765</v>
      </c>
      <c r="L28" s="322">
        <v>1</v>
      </c>
    </row>
    <row r="29" spans="1:12" ht="14.4" x14ac:dyDescent="0.3">
      <c r="A29" s="332" t="s">
        <v>293</v>
      </c>
      <c r="B29" s="328">
        <v>618</v>
      </c>
      <c r="C29" s="328">
        <v>637</v>
      </c>
      <c r="D29" s="328">
        <v>664</v>
      </c>
      <c r="E29" s="333">
        <v>664</v>
      </c>
      <c r="F29" s="329">
        <v>0</v>
      </c>
      <c r="G29" s="330"/>
      <c r="H29" s="330"/>
      <c r="I29" s="330"/>
      <c r="J29" s="330"/>
      <c r="K29" s="331"/>
      <c r="L29" s="322">
        <v>1.0429999999999999</v>
      </c>
    </row>
    <row r="30" spans="1:12" ht="14.4" x14ac:dyDescent="0.3">
      <c r="A30" s="332" t="s">
        <v>294</v>
      </c>
      <c r="B30" s="328">
        <v>1442</v>
      </c>
      <c r="C30" s="328">
        <v>1485</v>
      </c>
      <c r="D30" s="328">
        <v>800</v>
      </c>
      <c r="E30" s="333">
        <v>800</v>
      </c>
      <c r="F30" s="329">
        <v>0</v>
      </c>
      <c r="G30" s="330"/>
      <c r="H30" s="330"/>
      <c r="I30" s="330"/>
      <c r="J30" s="330"/>
      <c r="K30" s="331"/>
      <c r="L30" s="322">
        <v>1</v>
      </c>
    </row>
    <row r="31" spans="1:12" ht="14.4" x14ac:dyDescent="0.3">
      <c r="A31" s="332" t="s">
        <v>295</v>
      </c>
      <c r="B31" s="328">
        <v>824</v>
      </c>
      <c r="C31" s="328">
        <v>849</v>
      </c>
      <c r="D31" s="328">
        <v>849</v>
      </c>
      <c r="E31" s="333">
        <v>849</v>
      </c>
      <c r="F31" s="329">
        <v>0</v>
      </c>
      <c r="G31" s="330"/>
      <c r="H31" s="330"/>
      <c r="I31" s="330"/>
      <c r="J31" s="330"/>
      <c r="K31" s="331"/>
      <c r="L31" s="322">
        <v>1</v>
      </c>
    </row>
    <row r="32" spans="1:12" ht="14.4" x14ac:dyDescent="0.25">
      <c r="A32" s="323" t="s">
        <v>296</v>
      </c>
      <c r="B32" s="325">
        <v>493981</v>
      </c>
      <c r="C32" s="325">
        <v>584774</v>
      </c>
      <c r="D32" s="325">
        <v>661906</v>
      </c>
      <c r="E32" s="325">
        <v>212096</v>
      </c>
      <c r="F32" s="325">
        <v>449810</v>
      </c>
      <c r="G32" s="325">
        <v>135382</v>
      </c>
      <c r="H32" s="325">
        <v>71141</v>
      </c>
      <c r="I32" s="325">
        <v>79491</v>
      </c>
      <c r="J32" s="325">
        <v>63488</v>
      </c>
      <c r="K32" s="324">
        <v>100308</v>
      </c>
      <c r="L32" s="326"/>
    </row>
    <row r="33" spans="1:12" ht="14.4" x14ac:dyDescent="0.3">
      <c r="A33" s="337" t="s">
        <v>297</v>
      </c>
      <c r="B33" s="328">
        <v>88000</v>
      </c>
      <c r="C33" s="328">
        <v>125794</v>
      </c>
      <c r="D33" s="328">
        <v>154000</v>
      </c>
      <c r="E33" s="338">
        <v>154000</v>
      </c>
      <c r="F33" s="329">
        <v>0</v>
      </c>
      <c r="G33" s="330"/>
      <c r="H33" s="330"/>
      <c r="I33" s="330"/>
      <c r="J33" s="330"/>
      <c r="K33" s="331"/>
      <c r="L33" s="322">
        <v>1.1000000000000001</v>
      </c>
    </row>
    <row r="34" spans="1:12" ht="14.4" x14ac:dyDescent="0.3">
      <c r="A34" s="337" t="s">
        <v>113</v>
      </c>
      <c r="B34" s="328">
        <v>7070</v>
      </c>
      <c r="C34" s="328">
        <v>10106</v>
      </c>
      <c r="D34" s="328">
        <v>14761</v>
      </c>
      <c r="E34" s="333">
        <v>14761</v>
      </c>
      <c r="F34" s="329">
        <v>0</v>
      </c>
      <c r="G34" s="330"/>
      <c r="H34" s="330"/>
      <c r="I34" s="330"/>
      <c r="J34" s="330"/>
      <c r="K34" s="331"/>
      <c r="L34" s="322">
        <v>1.1000000000000001</v>
      </c>
    </row>
    <row r="35" spans="1:12" ht="14.4" x14ac:dyDescent="0.3">
      <c r="A35" s="339" t="s">
        <v>107</v>
      </c>
      <c r="B35" s="328">
        <v>211200</v>
      </c>
      <c r="C35" s="328">
        <v>301906</v>
      </c>
      <c r="D35" s="328">
        <v>372000</v>
      </c>
      <c r="E35" s="333">
        <v>0</v>
      </c>
      <c r="F35" s="340">
        <v>372000</v>
      </c>
      <c r="G35" s="333">
        <v>116250</v>
      </c>
      <c r="H35" s="333">
        <v>54250</v>
      </c>
      <c r="I35" s="333">
        <v>67810</v>
      </c>
      <c r="J35" s="333">
        <v>50380</v>
      </c>
      <c r="K35" s="333">
        <v>83310</v>
      </c>
      <c r="L35" s="322">
        <v>1.1000000000000001</v>
      </c>
    </row>
    <row r="36" spans="1:12" ht="14.4" x14ac:dyDescent="0.3">
      <c r="A36" s="332" t="s">
        <v>298</v>
      </c>
      <c r="B36" s="328">
        <v>34492</v>
      </c>
      <c r="C36" s="328">
        <v>30000</v>
      </c>
      <c r="D36" s="328">
        <v>20000</v>
      </c>
      <c r="E36" s="333">
        <v>20000</v>
      </c>
      <c r="F36" s="329">
        <v>0</v>
      </c>
      <c r="G36" s="330"/>
      <c r="H36" s="330"/>
      <c r="I36" s="330"/>
      <c r="J36" s="330"/>
      <c r="K36" s="331"/>
      <c r="L36" s="322">
        <v>1</v>
      </c>
    </row>
    <row r="37" spans="1:12" ht="14.4" x14ac:dyDescent="0.3">
      <c r="A37" s="332" t="s">
        <v>122</v>
      </c>
      <c r="B37" s="328">
        <v>6060</v>
      </c>
      <c r="C37" s="328">
        <v>5000</v>
      </c>
      <c r="D37" s="328">
        <v>3333</v>
      </c>
      <c r="E37" s="333">
        <v>3333</v>
      </c>
      <c r="F37" s="329">
        <v>0</v>
      </c>
      <c r="G37" s="330"/>
      <c r="H37" s="330"/>
      <c r="I37" s="330"/>
      <c r="J37" s="330"/>
      <c r="K37" s="331"/>
      <c r="L37" s="322">
        <v>1</v>
      </c>
    </row>
    <row r="38" spans="1:12" ht="14.4" x14ac:dyDescent="0.3">
      <c r="A38" s="327" t="s">
        <v>117</v>
      </c>
      <c r="B38" s="328">
        <v>48480</v>
      </c>
      <c r="C38" s="328">
        <v>42000</v>
      </c>
      <c r="D38" s="328">
        <v>28000</v>
      </c>
      <c r="E38" s="333">
        <v>0</v>
      </c>
      <c r="F38" s="329">
        <v>28000</v>
      </c>
      <c r="G38" s="333">
        <v>4370</v>
      </c>
      <c r="H38" s="333">
        <v>7449</v>
      </c>
      <c r="I38" s="333">
        <v>3849</v>
      </c>
      <c r="J38" s="333">
        <v>6166</v>
      </c>
      <c r="K38" s="333">
        <v>6166</v>
      </c>
      <c r="L38" s="322">
        <v>1</v>
      </c>
    </row>
    <row r="39" spans="1:12" ht="14.4" x14ac:dyDescent="0.3">
      <c r="A39" s="341" t="s">
        <v>124</v>
      </c>
      <c r="B39" s="328">
        <v>10100</v>
      </c>
      <c r="C39" s="328">
        <v>12120</v>
      </c>
      <c r="D39" s="328">
        <v>12643</v>
      </c>
      <c r="E39" s="333">
        <v>3473</v>
      </c>
      <c r="F39" s="329">
        <v>9170</v>
      </c>
      <c r="G39" s="333">
        <v>1834</v>
      </c>
      <c r="H39" s="333">
        <v>1834</v>
      </c>
      <c r="I39" s="333">
        <v>1834</v>
      </c>
      <c r="J39" s="333">
        <v>1834</v>
      </c>
      <c r="K39" s="333">
        <v>1834</v>
      </c>
      <c r="L39" s="322">
        <v>1.0429999999999999</v>
      </c>
    </row>
    <row r="40" spans="1:12" ht="14.4" x14ac:dyDescent="0.3">
      <c r="A40" s="342" t="s">
        <v>299</v>
      </c>
      <c r="B40" s="328">
        <v>12120</v>
      </c>
      <c r="C40" s="328">
        <v>12241</v>
      </c>
      <c r="D40" s="328">
        <v>12769</v>
      </c>
      <c r="E40" s="333">
        <v>2129</v>
      </c>
      <c r="F40" s="329">
        <v>10640</v>
      </c>
      <c r="G40" s="333">
        <v>2128</v>
      </c>
      <c r="H40" s="333">
        <v>2128</v>
      </c>
      <c r="I40" s="333">
        <v>2128</v>
      </c>
      <c r="J40" s="333">
        <v>2128</v>
      </c>
      <c r="K40" s="333">
        <v>2128</v>
      </c>
      <c r="L40" s="322">
        <v>1.0429999999999999</v>
      </c>
    </row>
    <row r="41" spans="1:12" ht="14.4" x14ac:dyDescent="0.3">
      <c r="A41" s="341" t="s">
        <v>300</v>
      </c>
      <c r="B41" s="328">
        <v>808</v>
      </c>
      <c r="C41" s="328">
        <v>816</v>
      </c>
      <c r="D41" s="328">
        <v>400</v>
      </c>
      <c r="E41" s="333">
        <v>400</v>
      </c>
      <c r="F41" s="329">
        <v>0</v>
      </c>
      <c r="G41" s="330"/>
      <c r="H41" s="330"/>
      <c r="I41" s="330"/>
      <c r="J41" s="330"/>
      <c r="K41" s="331"/>
      <c r="L41" s="322">
        <v>1</v>
      </c>
    </row>
    <row r="42" spans="1:12" ht="14.4" x14ac:dyDescent="0.3">
      <c r="A42" s="341" t="s">
        <v>301</v>
      </c>
      <c r="B42" s="328">
        <v>2525</v>
      </c>
      <c r="C42" s="328">
        <v>2550</v>
      </c>
      <c r="D42" s="328">
        <v>2000</v>
      </c>
      <c r="E42" s="333">
        <v>2000</v>
      </c>
      <c r="F42" s="329">
        <v>0</v>
      </c>
      <c r="G42" s="330"/>
      <c r="H42" s="330"/>
      <c r="I42" s="330"/>
      <c r="J42" s="330"/>
      <c r="K42" s="331"/>
      <c r="L42" s="322">
        <v>1</v>
      </c>
    </row>
    <row r="43" spans="1:12" ht="14.4" x14ac:dyDescent="0.3">
      <c r="A43" s="341" t="s">
        <v>302</v>
      </c>
      <c r="B43" s="328">
        <v>15000</v>
      </c>
      <c r="C43" s="328">
        <v>0</v>
      </c>
      <c r="D43" s="328">
        <v>10000</v>
      </c>
      <c r="E43" s="333">
        <v>10000</v>
      </c>
      <c r="F43" s="329">
        <v>0</v>
      </c>
      <c r="G43" s="330"/>
      <c r="H43" s="330"/>
      <c r="I43" s="330"/>
      <c r="J43" s="330"/>
      <c r="K43" s="331"/>
      <c r="L43" s="322">
        <v>1</v>
      </c>
    </row>
    <row r="44" spans="1:12" ht="14.4" x14ac:dyDescent="0.25">
      <c r="A44" s="343" t="s">
        <v>1017</v>
      </c>
      <c r="B44" s="344">
        <v>30856</v>
      </c>
      <c r="C44" s="344">
        <v>32040</v>
      </c>
      <c r="D44" s="344">
        <v>20000</v>
      </c>
      <c r="E44" s="345">
        <v>0</v>
      </c>
      <c r="F44" s="348">
        <v>20000</v>
      </c>
      <c r="G44" s="345">
        <v>8800</v>
      </c>
      <c r="H44" s="345">
        <v>3480</v>
      </c>
      <c r="I44" s="345">
        <v>1870</v>
      </c>
      <c r="J44" s="345">
        <v>980</v>
      </c>
      <c r="K44" s="347">
        <v>4870</v>
      </c>
      <c r="L44" s="349">
        <v>1</v>
      </c>
    </row>
    <row r="45" spans="1:12" ht="14.4" x14ac:dyDescent="0.3">
      <c r="A45" s="336" t="s">
        <v>304</v>
      </c>
      <c r="B45" s="328">
        <v>12120</v>
      </c>
      <c r="C45" s="328">
        <v>10201</v>
      </c>
      <c r="D45" s="328">
        <v>12000</v>
      </c>
      <c r="E45" s="333">
        <v>2000</v>
      </c>
      <c r="F45" s="329">
        <v>10000</v>
      </c>
      <c r="G45" s="333">
        <v>2000</v>
      </c>
      <c r="H45" s="333">
        <v>2000</v>
      </c>
      <c r="I45" s="333">
        <v>2000</v>
      </c>
      <c r="J45" s="333">
        <v>2000</v>
      </c>
      <c r="K45" s="333">
        <v>2000</v>
      </c>
      <c r="L45" s="349">
        <v>1</v>
      </c>
    </row>
    <row r="46" spans="1:12" ht="14.4" x14ac:dyDescent="0.3">
      <c r="A46" s="336" t="s">
        <v>305</v>
      </c>
      <c r="B46" s="328">
        <v>0</v>
      </c>
      <c r="C46" s="328">
        <v>0</v>
      </c>
      <c r="D46" s="328">
        <v>0</v>
      </c>
      <c r="E46" s="333">
        <v>0</v>
      </c>
      <c r="F46" s="329">
        <v>0</v>
      </c>
      <c r="G46" s="333"/>
      <c r="H46" s="333"/>
      <c r="I46" s="333"/>
      <c r="J46" s="333"/>
      <c r="K46" s="334"/>
      <c r="L46" s="322">
        <v>1</v>
      </c>
    </row>
    <row r="47" spans="1:12" ht="14.4" x14ac:dyDescent="0.3">
      <c r="A47" s="336" t="s">
        <v>306</v>
      </c>
      <c r="B47" s="328">
        <v>15150</v>
      </c>
      <c r="C47" s="328">
        <v>0</v>
      </c>
      <c r="D47" s="328">
        <v>0</v>
      </c>
      <c r="E47" s="333">
        <v>0</v>
      </c>
      <c r="F47" s="329">
        <v>0</v>
      </c>
      <c r="G47" s="330"/>
      <c r="H47" s="330"/>
      <c r="I47" s="330"/>
      <c r="J47" s="330"/>
      <c r="K47" s="331"/>
      <c r="L47" s="322">
        <v>1</v>
      </c>
    </row>
    <row r="48" spans="1:12" ht="14.4" x14ac:dyDescent="0.25">
      <c r="A48" s="323" t="s">
        <v>141</v>
      </c>
      <c r="B48" s="325">
        <v>183315</v>
      </c>
      <c r="C48" s="325">
        <v>178700</v>
      </c>
      <c r="D48" s="325">
        <v>168654</v>
      </c>
      <c r="E48" s="325">
        <v>168654</v>
      </c>
      <c r="F48" s="325">
        <v>0</v>
      </c>
      <c r="G48" s="325">
        <v>0</v>
      </c>
      <c r="H48" s="325">
        <v>0</v>
      </c>
      <c r="I48" s="325">
        <v>0</v>
      </c>
      <c r="J48" s="325">
        <v>0</v>
      </c>
      <c r="K48" s="324">
        <v>0</v>
      </c>
      <c r="L48" s="326"/>
    </row>
    <row r="49" spans="1:12" ht="14.4" x14ac:dyDescent="0.3">
      <c r="A49" s="332" t="s">
        <v>307</v>
      </c>
      <c r="B49" s="328">
        <v>40400</v>
      </c>
      <c r="C49" s="328">
        <v>40800</v>
      </c>
      <c r="D49" s="328">
        <v>30000</v>
      </c>
      <c r="E49" s="333">
        <v>30000</v>
      </c>
      <c r="F49" s="329">
        <v>0</v>
      </c>
      <c r="G49" s="330"/>
      <c r="H49" s="330"/>
      <c r="I49" s="330"/>
      <c r="J49" s="330"/>
      <c r="K49" s="331"/>
      <c r="L49" s="322">
        <v>1.0429999999999999</v>
      </c>
    </row>
    <row r="50" spans="1:12" ht="14.4" x14ac:dyDescent="0.3">
      <c r="A50" s="350" t="s">
        <v>308</v>
      </c>
      <c r="B50" s="328">
        <v>10100</v>
      </c>
      <c r="C50" s="328">
        <v>10200</v>
      </c>
      <c r="D50" s="328">
        <v>7500</v>
      </c>
      <c r="E50" s="338">
        <v>7500</v>
      </c>
      <c r="F50" s="329">
        <v>0</v>
      </c>
      <c r="G50" s="330"/>
      <c r="H50" s="330"/>
      <c r="I50" s="330"/>
      <c r="J50" s="330"/>
      <c r="K50" s="331"/>
      <c r="L50" s="322">
        <v>1</v>
      </c>
    </row>
    <row r="51" spans="1:12" ht="14.4" x14ac:dyDescent="0.3">
      <c r="A51" s="332" t="s">
        <v>309</v>
      </c>
      <c r="B51" s="328">
        <v>0</v>
      </c>
      <c r="C51" s="328">
        <v>0</v>
      </c>
      <c r="D51" s="328">
        <v>8600</v>
      </c>
      <c r="E51" s="333">
        <v>8600</v>
      </c>
      <c r="F51" s="329">
        <v>0</v>
      </c>
      <c r="G51" s="330"/>
      <c r="H51" s="330"/>
      <c r="I51" s="330"/>
      <c r="J51" s="330"/>
      <c r="K51" s="331"/>
      <c r="L51" s="322">
        <v>1.0429999999999999</v>
      </c>
    </row>
    <row r="52" spans="1:12" ht="14.4" x14ac:dyDescent="0.3">
      <c r="A52" s="350" t="s">
        <v>310</v>
      </c>
      <c r="B52" s="328">
        <v>15150</v>
      </c>
      <c r="C52" s="328">
        <v>10000</v>
      </c>
      <c r="D52" s="328">
        <v>8500</v>
      </c>
      <c r="E52" s="338">
        <v>8500</v>
      </c>
      <c r="F52" s="329">
        <v>0</v>
      </c>
      <c r="G52" s="330"/>
      <c r="H52" s="330"/>
      <c r="I52" s="330"/>
      <c r="J52" s="330"/>
      <c r="K52" s="331"/>
      <c r="L52" s="322">
        <v>1</v>
      </c>
    </row>
    <row r="53" spans="1:12" ht="14.4" x14ac:dyDescent="0.3">
      <c r="A53" s="339" t="s">
        <v>311</v>
      </c>
      <c r="B53" s="328">
        <v>12625</v>
      </c>
      <c r="C53" s="328">
        <v>12800</v>
      </c>
      <c r="D53" s="328">
        <v>8500</v>
      </c>
      <c r="E53" s="338">
        <v>8500</v>
      </c>
      <c r="F53" s="329">
        <v>0</v>
      </c>
      <c r="G53" s="330"/>
      <c r="H53" s="330"/>
      <c r="I53" s="330"/>
      <c r="J53" s="330"/>
      <c r="K53" s="331"/>
      <c r="L53" s="322">
        <v>1</v>
      </c>
    </row>
    <row r="54" spans="1:12" ht="14.4" x14ac:dyDescent="0.3">
      <c r="A54" s="332" t="s">
        <v>312</v>
      </c>
      <c r="B54" s="328">
        <v>40400</v>
      </c>
      <c r="C54" s="328">
        <v>40800</v>
      </c>
      <c r="D54" s="328">
        <v>42554</v>
      </c>
      <c r="E54" s="333">
        <v>42554</v>
      </c>
      <c r="F54" s="329">
        <v>0</v>
      </c>
      <c r="G54" s="330"/>
      <c r="H54" s="330"/>
      <c r="I54" s="330"/>
      <c r="J54" s="330"/>
      <c r="K54" s="331"/>
      <c r="L54" s="322">
        <v>1.0429999999999999</v>
      </c>
    </row>
    <row r="55" spans="1:12" ht="14.4" x14ac:dyDescent="0.3">
      <c r="A55" s="351" t="s">
        <v>313</v>
      </c>
      <c r="B55" s="328">
        <v>0</v>
      </c>
      <c r="C55" s="328">
        <v>0</v>
      </c>
      <c r="D55" s="328">
        <v>0</v>
      </c>
      <c r="E55" s="333">
        <v>0</v>
      </c>
      <c r="F55" s="329">
        <v>0</v>
      </c>
      <c r="G55" s="330"/>
      <c r="H55" s="330"/>
      <c r="I55" s="330"/>
      <c r="J55" s="330"/>
      <c r="K55" s="331"/>
      <c r="L55" s="322">
        <v>1</v>
      </c>
    </row>
    <row r="56" spans="1:12" ht="14.4" x14ac:dyDescent="0.3">
      <c r="A56" s="332" t="s">
        <v>149</v>
      </c>
      <c r="B56" s="328">
        <v>4040</v>
      </c>
      <c r="C56" s="328">
        <v>4100</v>
      </c>
      <c r="D56" s="328">
        <v>3000</v>
      </c>
      <c r="E56" s="333">
        <v>3000</v>
      </c>
      <c r="F56" s="329">
        <v>0</v>
      </c>
      <c r="G56" s="330"/>
      <c r="H56" s="330"/>
      <c r="I56" s="330"/>
      <c r="J56" s="330"/>
      <c r="K56" s="331"/>
      <c r="L56" s="322">
        <v>1</v>
      </c>
    </row>
    <row r="57" spans="1:12" ht="14.4" x14ac:dyDescent="0.3">
      <c r="A57" s="332" t="s">
        <v>157</v>
      </c>
      <c r="B57" s="328">
        <v>60600</v>
      </c>
      <c r="C57" s="328">
        <v>60000</v>
      </c>
      <c r="D57" s="328">
        <v>60000</v>
      </c>
      <c r="E57" s="333">
        <v>60000</v>
      </c>
      <c r="F57" s="329">
        <v>0</v>
      </c>
      <c r="G57" s="330"/>
      <c r="H57" s="330"/>
      <c r="I57" s="330"/>
      <c r="J57" s="330"/>
      <c r="K57" s="331"/>
      <c r="L57" s="322">
        <v>1</v>
      </c>
    </row>
    <row r="58" spans="1:12" ht="14.4" x14ac:dyDescent="0.25">
      <c r="A58" s="323" t="s">
        <v>158</v>
      </c>
      <c r="B58" s="325">
        <v>454370</v>
      </c>
      <c r="C58" s="325">
        <v>314152</v>
      </c>
      <c r="D58" s="325">
        <v>270920</v>
      </c>
      <c r="E58" s="325">
        <v>270920</v>
      </c>
      <c r="F58" s="325">
        <v>0</v>
      </c>
      <c r="G58" s="325">
        <v>0</v>
      </c>
      <c r="H58" s="325">
        <v>0</v>
      </c>
      <c r="I58" s="325">
        <v>0</v>
      </c>
      <c r="J58" s="325">
        <v>0</v>
      </c>
      <c r="K58" s="324">
        <v>0</v>
      </c>
      <c r="L58" s="326"/>
    </row>
    <row r="59" spans="1:12" ht="14.4" x14ac:dyDescent="0.3">
      <c r="A59" s="336" t="s">
        <v>314</v>
      </c>
      <c r="B59" s="328">
        <v>30300</v>
      </c>
      <c r="C59" s="328">
        <v>15000</v>
      </c>
      <c r="D59" s="328">
        <v>15000</v>
      </c>
      <c r="E59" s="333">
        <v>15000</v>
      </c>
      <c r="F59" s="329">
        <v>0</v>
      </c>
      <c r="G59" s="330"/>
      <c r="H59" s="330"/>
      <c r="I59" s="330"/>
      <c r="J59" s="330"/>
      <c r="K59" s="331"/>
      <c r="L59" s="322">
        <v>1</v>
      </c>
    </row>
    <row r="60" spans="1:12" ht="14.4" x14ac:dyDescent="0.3">
      <c r="A60" s="352" t="s">
        <v>315</v>
      </c>
      <c r="B60" s="328">
        <v>22725</v>
      </c>
      <c r="C60" s="328">
        <v>22952</v>
      </c>
      <c r="D60" s="328">
        <v>15000</v>
      </c>
      <c r="E60" s="333">
        <v>15000</v>
      </c>
      <c r="F60" s="329">
        <v>0</v>
      </c>
      <c r="G60" s="330"/>
      <c r="H60" s="330"/>
      <c r="I60" s="330"/>
      <c r="J60" s="330"/>
      <c r="K60" s="331"/>
      <c r="L60" s="322">
        <v>1</v>
      </c>
    </row>
    <row r="61" spans="1:12" ht="14.4" x14ac:dyDescent="0.3">
      <c r="A61" s="336" t="s">
        <v>317</v>
      </c>
      <c r="B61" s="328">
        <v>215000</v>
      </c>
      <c r="C61" s="328">
        <v>20000</v>
      </c>
      <c r="D61" s="328">
        <v>50000</v>
      </c>
      <c r="E61" s="333">
        <v>50000</v>
      </c>
      <c r="F61" s="329">
        <v>0</v>
      </c>
      <c r="G61" s="330"/>
      <c r="H61" s="330"/>
      <c r="I61" s="330"/>
      <c r="J61" s="330"/>
      <c r="K61" s="331"/>
      <c r="L61" s="322">
        <v>1</v>
      </c>
    </row>
    <row r="62" spans="1:12" ht="14.4" x14ac:dyDescent="0.3">
      <c r="A62" s="352" t="s">
        <v>1018</v>
      </c>
      <c r="B62" s="328">
        <v>5050</v>
      </c>
      <c r="C62" s="328">
        <v>5101</v>
      </c>
      <c r="D62" s="328">
        <v>20000</v>
      </c>
      <c r="E62" s="333">
        <v>20000</v>
      </c>
      <c r="F62" s="329">
        <v>0</v>
      </c>
      <c r="G62" s="330"/>
      <c r="H62" s="330"/>
      <c r="I62" s="330"/>
      <c r="J62" s="330"/>
      <c r="K62" s="331"/>
      <c r="L62" s="322">
        <v>1</v>
      </c>
    </row>
    <row r="63" spans="1:12" ht="14.4" x14ac:dyDescent="0.3">
      <c r="A63" s="352" t="s">
        <v>319</v>
      </c>
      <c r="B63" s="328">
        <v>45450</v>
      </c>
      <c r="C63" s="328">
        <v>45905</v>
      </c>
      <c r="D63" s="328">
        <v>60000</v>
      </c>
      <c r="E63" s="333">
        <v>60000</v>
      </c>
      <c r="F63" s="329">
        <v>0</v>
      </c>
      <c r="G63" s="330"/>
      <c r="H63" s="330"/>
      <c r="I63" s="330"/>
      <c r="J63" s="330"/>
      <c r="K63" s="331"/>
      <c r="L63" s="322">
        <v>1</v>
      </c>
    </row>
    <row r="64" spans="1:12" ht="14.4" x14ac:dyDescent="0.3">
      <c r="A64" s="336" t="s">
        <v>170</v>
      </c>
      <c r="B64" s="328">
        <v>4545</v>
      </c>
      <c r="C64" s="328">
        <v>4590</v>
      </c>
      <c r="D64" s="328">
        <v>1500</v>
      </c>
      <c r="E64" s="333">
        <v>1500</v>
      </c>
      <c r="F64" s="329">
        <v>0</v>
      </c>
      <c r="G64" s="330"/>
      <c r="H64" s="330"/>
      <c r="I64" s="330"/>
      <c r="J64" s="330"/>
      <c r="K64" s="331"/>
      <c r="L64" s="322">
        <v>1</v>
      </c>
    </row>
    <row r="65" spans="1:12" ht="14.4" x14ac:dyDescent="0.3">
      <c r="A65" s="336" t="s">
        <v>172</v>
      </c>
      <c r="B65" s="328">
        <v>20200</v>
      </c>
      <c r="C65" s="328">
        <v>20402</v>
      </c>
      <c r="D65" s="328">
        <v>21279</v>
      </c>
      <c r="E65" s="333">
        <v>21279</v>
      </c>
      <c r="F65" s="329">
        <v>0</v>
      </c>
      <c r="G65" s="330"/>
      <c r="H65" s="330"/>
      <c r="I65" s="330"/>
      <c r="J65" s="330"/>
      <c r="K65" s="331"/>
      <c r="L65" s="322">
        <v>1.0429999999999999</v>
      </c>
    </row>
    <row r="66" spans="1:12" ht="14.4" x14ac:dyDescent="0.3">
      <c r="A66" s="336" t="s">
        <v>320</v>
      </c>
      <c r="B66" s="328">
        <v>15150</v>
      </c>
      <c r="C66" s="328">
        <v>5000</v>
      </c>
      <c r="D66" s="328">
        <v>2500</v>
      </c>
      <c r="E66" s="333">
        <v>2500</v>
      </c>
      <c r="F66" s="329">
        <v>0</v>
      </c>
      <c r="G66" s="330"/>
      <c r="H66" s="330"/>
      <c r="I66" s="330"/>
      <c r="J66" s="330"/>
      <c r="K66" s="331"/>
      <c r="L66" s="322">
        <v>1</v>
      </c>
    </row>
    <row r="67" spans="1:12" ht="14.4" x14ac:dyDescent="0.25">
      <c r="A67" s="343" t="s">
        <v>1019</v>
      </c>
      <c r="B67" s="344">
        <v>70700</v>
      </c>
      <c r="C67" s="344">
        <v>160000</v>
      </c>
      <c r="D67" s="344">
        <v>70000</v>
      </c>
      <c r="E67" s="345">
        <v>70000</v>
      </c>
      <c r="F67" s="346">
        <v>0</v>
      </c>
      <c r="G67" s="353"/>
      <c r="H67" s="353"/>
      <c r="I67" s="353"/>
      <c r="J67" s="353"/>
      <c r="K67" s="354"/>
      <c r="L67" s="349">
        <v>1</v>
      </c>
    </row>
    <row r="68" spans="1:12" ht="14.4" x14ac:dyDescent="0.3">
      <c r="A68" s="336" t="s">
        <v>322</v>
      </c>
      <c r="B68" s="328">
        <v>5050</v>
      </c>
      <c r="C68" s="328">
        <v>10202</v>
      </c>
      <c r="D68" s="328">
        <v>10641</v>
      </c>
      <c r="E68" s="333">
        <v>10641</v>
      </c>
      <c r="F68" s="329">
        <v>0</v>
      </c>
      <c r="G68" s="330" t="s">
        <v>316</v>
      </c>
      <c r="H68" s="330"/>
      <c r="I68" s="330" t="s">
        <v>316</v>
      </c>
      <c r="J68" s="330" t="s">
        <v>316</v>
      </c>
      <c r="K68" s="331"/>
      <c r="L68" s="322">
        <v>1.0429999999999999</v>
      </c>
    </row>
    <row r="69" spans="1:12" ht="14.4" x14ac:dyDescent="0.25">
      <c r="A69" s="343" t="s">
        <v>323</v>
      </c>
      <c r="B69" s="344">
        <v>20200</v>
      </c>
      <c r="C69" s="344">
        <v>5000</v>
      </c>
      <c r="D69" s="328">
        <v>5000</v>
      </c>
      <c r="E69" s="345">
        <v>5000</v>
      </c>
      <c r="F69" s="346">
        <v>0</v>
      </c>
      <c r="G69" s="353"/>
      <c r="H69" s="353"/>
      <c r="I69" s="353"/>
      <c r="J69" s="353"/>
      <c r="K69" s="354"/>
      <c r="L69" s="349">
        <v>1</v>
      </c>
    </row>
    <row r="70" spans="1:12" ht="14.4" x14ac:dyDescent="0.25">
      <c r="A70" s="323" t="s">
        <v>176</v>
      </c>
      <c r="B70" s="325">
        <v>4040</v>
      </c>
      <c r="C70" s="325">
        <v>4080</v>
      </c>
      <c r="D70" s="325">
        <v>4255</v>
      </c>
      <c r="E70" s="325">
        <v>4255</v>
      </c>
      <c r="F70" s="325">
        <v>0</v>
      </c>
      <c r="G70" s="325">
        <v>0</v>
      </c>
      <c r="H70" s="325">
        <v>0</v>
      </c>
      <c r="I70" s="325">
        <v>0</v>
      </c>
      <c r="J70" s="325">
        <v>0</v>
      </c>
      <c r="K70" s="324">
        <v>0</v>
      </c>
      <c r="L70" s="326"/>
    </row>
    <row r="71" spans="1:12" ht="14.4" x14ac:dyDescent="0.3">
      <c r="A71" s="351" t="s">
        <v>324</v>
      </c>
      <c r="B71" s="328">
        <v>4040</v>
      </c>
      <c r="C71" s="328">
        <v>4080</v>
      </c>
      <c r="D71" s="328">
        <v>4255</v>
      </c>
      <c r="E71" s="333">
        <v>4255</v>
      </c>
      <c r="F71" s="329">
        <v>0</v>
      </c>
      <c r="G71" s="333">
        <v>0</v>
      </c>
      <c r="H71" s="333">
        <v>0</v>
      </c>
      <c r="I71" s="333">
        <v>0</v>
      </c>
      <c r="J71" s="333">
        <v>0</v>
      </c>
      <c r="K71" s="334">
        <v>0</v>
      </c>
      <c r="L71" s="322">
        <v>1.0429999999999999</v>
      </c>
    </row>
    <row r="72" spans="1:12" ht="14.4" x14ac:dyDescent="0.25">
      <c r="A72" s="323" t="s">
        <v>15</v>
      </c>
      <c r="B72" s="325">
        <v>1611076</v>
      </c>
      <c r="C72" s="325">
        <v>1703243.5</v>
      </c>
      <c r="D72" s="325">
        <v>1769102</v>
      </c>
      <c r="E72" s="325">
        <v>766713</v>
      </c>
      <c r="F72" s="325">
        <v>1002389</v>
      </c>
      <c r="G72" s="325">
        <v>378089</v>
      </c>
      <c r="H72" s="325">
        <v>177739</v>
      </c>
      <c r="I72" s="325">
        <v>132503</v>
      </c>
      <c r="J72" s="325">
        <v>116046</v>
      </c>
      <c r="K72" s="325">
        <v>198012</v>
      </c>
      <c r="L72" s="326"/>
    </row>
    <row r="73" spans="1:12" ht="14.4" x14ac:dyDescent="0.3">
      <c r="A73" s="332" t="s">
        <v>325</v>
      </c>
      <c r="B73" s="328">
        <v>1571566</v>
      </c>
      <c r="C73" s="328">
        <v>1666644</v>
      </c>
      <c r="D73" s="328">
        <v>1738311</v>
      </c>
      <c r="E73" s="333">
        <v>738392</v>
      </c>
      <c r="F73" s="329">
        <v>999919</v>
      </c>
      <c r="G73" s="333">
        <v>377139</v>
      </c>
      <c r="H73" s="333">
        <v>177359</v>
      </c>
      <c r="I73" s="333">
        <v>132123</v>
      </c>
      <c r="J73" s="333">
        <v>115666</v>
      </c>
      <c r="K73" s="334">
        <v>197632</v>
      </c>
      <c r="L73" s="322">
        <v>1</v>
      </c>
    </row>
    <row r="74" spans="1:12" ht="14.4" x14ac:dyDescent="0.3">
      <c r="A74" s="337" t="s">
        <v>331</v>
      </c>
      <c r="B74" s="328">
        <v>6180</v>
      </c>
      <c r="C74" s="328">
        <v>6365</v>
      </c>
      <c r="D74" s="328">
        <v>6639</v>
      </c>
      <c r="E74" s="333">
        <v>6639</v>
      </c>
      <c r="F74" s="329">
        <v>0</v>
      </c>
      <c r="G74" s="330"/>
      <c r="H74" s="330"/>
      <c r="I74" s="330"/>
      <c r="J74" s="330"/>
      <c r="K74" s="331"/>
      <c r="L74" s="322">
        <v>1.0429999999999999</v>
      </c>
    </row>
    <row r="75" spans="1:12" ht="14.4" x14ac:dyDescent="0.3">
      <c r="A75" s="337" t="s">
        <v>3</v>
      </c>
      <c r="B75" s="328">
        <v>1010</v>
      </c>
      <c r="C75" s="328">
        <v>1212</v>
      </c>
      <c r="D75" s="328">
        <v>1212</v>
      </c>
      <c r="E75" s="333">
        <v>1212</v>
      </c>
      <c r="F75" s="329">
        <v>0</v>
      </c>
      <c r="G75" s="330" t="s">
        <v>316</v>
      </c>
      <c r="H75" s="330" t="s">
        <v>316</v>
      </c>
      <c r="I75" s="330" t="s">
        <v>316</v>
      </c>
      <c r="J75" s="330" t="s">
        <v>316</v>
      </c>
      <c r="K75" s="331" t="s">
        <v>316</v>
      </c>
      <c r="L75" s="322">
        <v>1</v>
      </c>
    </row>
    <row r="76" spans="1:12" ht="14.4" x14ac:dyDescent="0.3">
      <c r="A76" s="337" t="s">
        <v>332</v>
      </c>
      <c r="B76" s="328">
        <v>0</v>
      </c>
      <c r="C76" s="328">
        <v>0</v>
      </c>
      <c r="D76" s="328">
        <v>0</v>
      </c>
      <c r="E76" s="333">
        <v>0</v>
      </c>
      <c r="F76" s="329">
        <v>0</v>
      </c>
      <c r="G76" s="330"/>
      <c r="H76" s="330"/>
      <c r="I76" s="330"/>
      <c r="J76" s="330"/>
      <c r="K76" s="331"/>
      <c r="L76" s="322">
        <v>1</v>
      </c>
    </row>
    <row r="77" spans="1:12" ht="14.4" x14ac:dyDescent="0.3">
      <c r="A77" s="337" t="s">
        <v>5</v>
      </c>
      <c r="B77" s="328">
        <v>6060</v>
      </c>
      <c r="C77" s="328">
        <v>7600</v>
      </c>
      <c r="D77" s="328">
        <v>3800</v>
      </c>
      <c r="E77" s="333">
        <v>1330</v>
      </c>
      <c r="F77" s="329">
        <v>2470</v>
      </c>
      <c r="G77" s="333">
        <v>950</v>
      </c>
      <c r="H77" s="333">
        <v>380</v>
      </c>
      <c r="I77" s="333">
        <v>380</v>
      </c>
      <c r="J77" s="333">
        <v>380</v>
      </c>
      <c r="K77" s="333">
        <v>380</v>
      </c>
      <c r="L77" s="322">
        <v>1</v>
      </c>
    </row>
    <row r="78" spans="1:12" ht="14.4" x14ac:dyDescent="0.3">
      <c r="A78" s="337" t="s">
        <v>333</v>
      </c>
      <c r="B78" s="328">
        <v>6060</v>
      </c>
      <c r="C78" s="328">
        <v>6121</v>
      </c>
      <c r="D78" s="328">
        <v>3500</v>
      </c>
      <c r="E78" s="333">
        <v>3500</v>
      </c>
      <c r="F78" s="329">
        <v>0</v>
      </c>
      <c r="G78" s="330"/>
      <c r="H78" s="330"/>
      <c r="I78" s="330"/>
      <c r="J78" s="330"/>
      <c r="K78" s="331"/>
      <c r="L78" s="322">
        <v>1</v>
      </c>
    </row>
    <row r="79" spans="1:12" ht="14.4" x14ac:dyDescent="0.3">
      <c r="A79" s="337" t="s">
        <v>334</v>
      </c>
      <c r="B79" s="328">
        <v>10100</v>
      </c>
      <c r="C79" s="328">
        <v>5100.5</v>
      </c>
      <c r="D79" s="328">
        <v>5000</v>
      </c>
      <c r="E79" s="333">
        <v>5000</v>
      </c>
      <c r="F79" s="329">
        <v>0</v>
      </c>
      <c r="G79" s="330"/>
      <c r="H79" s="330"/>
      <c r="I79" s="330"/>
      <c r="J79" s="330"/>
      <c r="K79" s="331"/>
      <c r="L79" s="322">
        <v>1</v>
      </c>
    </row>
    <row r="80" spans="1:12" ht="14.4" x14ac:dyDescent="0.3">
      <c r="A80" s="337" t="s">
        <v>335</v>
      </c>
      <c r="B80" s="328">
        <v>10100</v>
      </c>
      <c r="C80" s="328">
        <v>10201</v>
      </c>
      <c r="D80" s="328">
        <v>10640</v>
      </c>
      <c r="E80" s="333">
        <v>10640</v>
      </c>
      <c r="F80" s="329">
        <v>0</v>
      </c>
      <c r="G80" s="330"/>
      <c r="H80" s="330"/>
      <c r="I80" s="330"/>
      <c r="J80" s="330"/>
      <c r="K80" s="331"/>
      <c r="L80" s="322">
        <v>1.0429999999999999</v>
      </c>
    </row>
    <row r="81" spans="1:12" ht="14.4" x14ac:dyDescent="0.3">
      <c r="A81" s="337" t="s">
        <v>336</v>
      </c>
      <c r="B81" s="328">
        <v>0</v>
      </c>
      <c r="C81" s="328">
        <v>0</v>
      </c>
      <c r="D81" s="328">
        <v>0</v>
      </c>
      <c r="E81" s="333">
        <v>0</v>
      </c>
      <c r="F81" s="329">
        <v>0</v>
      </c>
      <c r="G81" s="330"/>
      <c r="H81" s="330"/>
      <c r="I81" s="330"/>
      <c r="J81" s="330"/>
      <c r="K81" s="331"/>
      <c r="L81" s="322">
        <v>1</v>
      </c>
    </row>
    <row r="82" spans="1:12" ht="14.4" x14ac:dyDescent="0.25">
      <c r="A82" s="323" t="s">
        <v>17</v>
      </c>
      <c r="B82" s="325">
        <v>15150</v>
      </c>
      <c r="C82" s="325">
        <v>12500</v>
      </c>
      <c r="D82" s="325">
        <v>10000</v>
      </c>
      <c r="E82" s="325">
        <v>10000</v>
      </c>
      <c r="F82" s="325">
        <v>0</v>
      </c>
      <c r="G82" s="325">
        <v>0</v>
      </c>
      <c r="H82" s="325">
        <v>0</v>
      </c>
      <c r="I82" s="325">
        <v>0</v>
      </c>
      <c r="J82" s="325">
        <v>0</v>
      </c>
      <c r="K82" s="324">
        <v>0</v>
      </c>
      <c r="L82" s="326"/>
    </row>
    <row r="83" spans="1:12" ht="14.4" x14ac:dyDescent="0.3">
      <c r="A83" s="332" t="s">
        <v>337</v>
      </c>
      <c r="B83" s="328">
        <v>15150</v>
      </c>
      <c r="C83" s="328">
        <v>12500</v>
      </c>
      <c r="D83" s="328">
        <v>10000</v>
      </c>
      <c r="E83" s="333">
        <v>10000</v>
      </c>
      <c r="F83" s="329">
        <v>0</v>
      </c>
      <c r="G83" s="333"/>
      <c r="H83" s="333"/>
      <c r="I83" s="333"/>
      <c r="J83" s="333"/>
      <c r="K83" s="334"/>
      <c r="L83" s="322">
        <v>1</v>
      </c>
    </row>
    <row r="84" spans="1:12" ht="14.4" x14ac:dyDescent="0.25">
      <c r="A84" s="323" t="s">
        <v>28</v>
      </c>
      <c r="B84" s="325">
        <v>0</v>
      </c>
      <c r="C84" s="325">
        <v>0</v>
      </c>
      <c r="D84" s="325">
        <v>0</v>
      </c>
      <c r="E84" s="325">
        <v>0</v>
      </c>
      <c r="F84" s="325">
        <v>0</v>
      </c>
      <c r="G84" s="325">
        <v>0</v>
      </c>
      <c r="H84" s="325">
        <v>0</v>
      </c>
      <c r="I84" s="325">
        <v>0</v>
      </c>
      <c r="J84" s="325">
        <v>0</v>
      </c>
      <c r="K84" s="324">
        <v>0</v>
      </c>
      <c r="L84" s="326"/>
    </row>
    <row r="85" spans="1:12" ht="14.4" x14ac:dyDescent="0.3">
      <c r="A85" s="337" t="s">
        <v>338</v>
      </c>
      <c r="B85" s="328">
        <v>0</v>
      </c>
      <c r="C85" s="328">
        <v>0</v>
      </c>
      <c r="D85" s="328">
        <v>0</v>
      </c>
      <c r="E85" s="333">
        <v>0</v>
      </c>
      <c r="F85" s="329">
        <v>0</v>
      </c>
      <c r="G85" s="333"/>
      <c r="H85" s="333"/>
      <c r="I85" s="333"/>
      <c r="J85" s="333"/>
      <c r="K85" s="334"/>
      <c r="L85" s="322">
        <v>1</v>
      </c>
    </row>
    <row r="86" spans="1:12" ht="14.4" x14ac:dyDescent="0.3">
      <c r="A86" s="337" t="s">
        <v>339</v>
      </c>
      <c r="B86" s="328">
        <v>0</v>
      </c>
      <c r="C86" s="328">
        <v>0</v>
      </c>
      <c r="D86" s="328">
        <v>0</v>
      </c>
      <c r="E86" s="333">
        <v>0</v>
      </c>
      <c r="F86" s="329">
        <v>0</v>
      </c>
      <c r="G86" s="333"/>
      <c r="H86" s="333"/>
      <c r="I86" s="333"/>
      <c r="J86" s="333"/>
      <c r="K86" s="334"/>
      <c r="L86" s="322">
        <v>1</v>
      </c>
    </row>
    <row r="87" spans="1:12" ht="14.4" x14ac:dyDescent="0.3">
      <c r="A87" s="337" t="s">
        <v>340</v>
      </c>
      <c r="B87" s="328">
        <v>0</v>
      </c>
      <c r="C87" s="328">
        <v>0</v>
      </c>
      <c r="D87" s="328">
        <v>0</v>
      </c>
      <c r="E87" s="333">
        <v>0</v>
      </c>
      <c r="F87" s="329">
        <v>0</v>
      </c>
      <c r="G87" s="333"/>
      <c r="H87" s="333"/>
      <c r="I87" s="333"/>
      <c r="J87" s="333"/>
      <c r="K87" s="334"/>
      <c r="L87" s="322">
        <v>1</v>
      </c>
    </row>
    <row r="88" spans="1:12" ht="14.4" x14ac:dyDescent="0.25">
      <c r="A88" s="323" t="s">
        <v>32</v>
      </c>
      <c r="B88" s="325">
        <v>23028</v>
      </c>
      <c r="C88" s="325">
        <v>37306</v>
      </c>
      <c r="D88" s="325">
        <v>39550</v>
      </c>
      <c r="E88" s="325">
        <v>39550</v>
      </c>
      <c r="F88" s="325">
        <v>0</v>
      </c>
      <c r="G88" s="325">
        <v>0</v>
      </c>
      <c r="H88" s="325">
        <v>0</v>
      </c>
      <c r="I88" s="325">
        <v>0</v>
      </c>
      <c r="J88" s="325">
        <v>0</v>
      </c>
      <c r="K88" s="324">
        <v>0</v>
      </c>
      <c r="L88" s="326"/>
    </row>
    <row r="89" spans="1:12" ht="14.4" x14ac:dyDescent="0.3">
      <c r="A89" s="332" t="s">
        <v>341</v>
      </c>
      <c r="B89" s="328">
        <v>12827</v>
      </c>
      <c r="C89" s="328">
        <v>23000</v>
      </c>
      <c r="D89" s="328">
        <v>25200</v>
      </c>
      <c r="E89" s="333">
        <v>25200</v>
      </c>
      <c r="F89" s="329">
        <v>0</v>
      </c>
      <c r="G89" s="333">
        <v>0</v>
      </c>
      <c r="H89" s="333">
        <v>0</v>
      </c>
      <c r="I89" s="333">
        <v>0</v>
      </c>
      <c r="J89" s="333">
        <v>0</v>
      </c>
      <c r="K89" s="333">
        <v>0</v>
      </c>
      <c r="L89" s="322">
        <v>1.0429999999999999</v>
      </c>
    </row>
    <row r="90" spans="1:12" ht="14.4" x14ac:dyDescent="0.3">
      <c r="A90" s="332" t="s">
        <v>342</v>
      </c>
      <c r="B90" s="328">
        <v>303</v>
      </c>
      <c r="C90" s="328">
        <v>306</v>
      </c>
      <c r="D90" s="328">
        <v>350</v>
      </c>
      <c r="E90" s="333">
        <v>350</v>
      </c>
      <c r="F90" s="329">
        <v>0</v>
      </c>
      <c r="G90" s="333"/>
      <c r="H90" s="333"/>
      <c r="I90" s="333"/>
      <c r="J90" s="333"/>
      <c r="K90" s="334"/>
      <c r="L90" s="322">
        <v>1</v>
      </c>
    </row>
    <row r="91" spans="1:12" ht="14.4" x14ac:dyDescent="0.3">
      <c r="A91" s="332" t="s">
        <v>343</v>
      </c>
      <c r="B91" s="328">
        <v>9898</v>
      </c>
      <c r="C91" s="328">
        <v>14000</v>
      </c>
      <c r="D91" s="328">
        <v>14000</v>
      </c>
      <c r="E91" s="333">
        <v>14000</v>
      </c>
      <c r="F91" s="329">
        <v>0</v>
      </c>
      <c r="G91" s="333"/>
      <c r="H91" s="333"/>
      <c r="I91" s="333"/>
      <c r="J91" s="333"/>
      <c r="K91" s="334"/>
      <c r="L91" s="322">
        <v>1</v>
      </c>
    </row>
    <row r="92" spans="1:12" ht="14.4" x14ac:dyDescent="0.25">
      <c r="A92" s="323" t="s">
        <v>344</v>
      </c>
      <c r="B92" s="325">
        <v>2657</v>
      </c>
      <c r="C92" s="325">
        <v>2664</v>
      </c>
      <c r="D92" s="325">
        <v>1664</v>
      </c>
      <c r="E92" s="325">
        <v>1664</v>
      </c>
      <c r="F92" s="325">
        <v>0</v>
      </c>
      <c r="G92" s="325">
        <v>0</v>
      </c>
      <c r="H92" s="325">
        <v>0</v>
      </c>
      <c r="I92" s="325">
        <v>0</v>
      </c>
      <c r="J92" s="325">
        <v>0</v>
      </c>
      <c r="K92" s="324">
        <v>0</v>
      </c>
      <c r="L92" s="326"/>
    </row>
    <row r="93" spans="1:12" ht="14.4" x14ac:dyDescent="0.3">
      <c r="A93" s="351" t="s">
        <v>345</v>
      </c>
      <c r="B93" s="328">
        <v>657</v>
      </c>
      <c r="C93" s="328">
        <v>664</v>
      </c>
      <c r="D93" s="328">
        <v>664</v>
      </c>
      <c r="E93" s="333">
        <v>664</v>
      </c>
      <c r="F93" s="329">
        <v>0</v>
      </c>
      <c r="G93" s="333"/>
      <c r="H93" s="333"/>
      <c r="I93" s="333"/>
      <c r="J93" s="333"/>
      <c r="K93" s="334"/>
      <c r="L93" s="322">
        <v>1</v>
      </c>
    </row>
    <row r="94" spans="1:12" ht="14.4" x14ac:dyDescent="0.3">
      <c r="A94" s="351" t="s">
        <v>346</v>
      </c>
      <c r="B94" s="328">
        <v>2000</v>
      </c>
      <c r="C94" s="328">
        <v>2000</v>
      </c>
      <c r="D94" s="328">
        <v>1000</v>
      </c>
      <c r="E94" s="333">
        <v>1000</v>
      </c>
      <c r="F94" s="329">
        <v>0</v>
      </c>
      <c r="G94" s="333"/>
      <c r="H94" s="333"/>
      <c r="I94" s="333"/>
      <c r="J94" s="333"/>
      <c r="K94" s="334"/>
      <c r="L94" s="322">
        <v>1</v>
      </c>
    </row>
    <row r="95" spans="1:12" ht="14.4" x14ac:dyDescent="0.3">
      <c r="A95" s="351" t="s">
        <v>40</v>
      </c>
      <c r="B95" s="328">
        <v>0</v>
      </c>
      <c r="C95" s="328">
        <v>0</v>
      </c>
      <c r="D95" s="328">
        <v>0</v>
      </c>
      <c r="E95" s="333">
        <v>0</v>
      </c>
      <c r="F95" s="329">
        <v>0</v>
      </c>
      <c r="G95" s="333"/>
      <c r="H95" s="333"/>
      <c r="I95" s="333"/>
      <c r="J95" s="333"/>
      <c r="K95" s="334"/>
      <c r="L95" s="322">
        <v>1</v>
      </c>
    </row>
    <row r="96" spans="1:12" ht="14.4" x14ac:dyDescent="0.3">
      <c r="A96" s="355"/>
      <c r="B96" s="328"/>
      <c r="C96" s="328"/>
      <c r="D96" s="328"/>
      <c r="E96" s="330"/>
      <c r="F96" s="329"/>
      <c r="G96" s="330"/>
      <c r="H96" s="330"/>
      <c r="I96" s="330"/>
      <c r="J96" s="330"/>
      <c r="K96" s="331"/>
      <c r="L96" s="322"/>
    </row>
    <row r="97" spans="1:12" ht="14.4" x14ac:dyDescent="0.3">
      <c r="A97" s="356" t="s">
        <v>42</v>
      </c>
      <c r="B97" s="357">
        <v>3475783</v>
      </c>
      <c r="C97" s="357">
        <v>3536163.9</v>
      </c>
      <c r="D97" s="357">
        <v>3591155</v>
      </c>
      <c r="E97" s="357">
        <v>1685360</v>
      </c>
      <c r="F97" s="357">
        <v>1670893</v>
      </c>
      <c r="G97" s="357">
        <v>611472</v>
      </c>
      <c r="H97" s="357">
        <v>301002</v>
      </c>
      <c r="I97" s="357">
        <v>236219</v>
      </c>
      <c r="J97" s="357">
        <v>192463</v>
      </c>
      <c r="K97" s="358">
        <v>329737</v>
      </c>
      <c r="L97" s="359"/>
    </row>
    <row r="98" spans="1:12" ht="14.4" x14ac:dyDescent="0.3">
      <c r="A98" s="360"/>
      <c r="B98" s="328"/>
      <c r="C98" s="328"/>
      <c r="D98" s="328"/>
      <c r="E98" s="330"/>
      <c r="F98" s="329"/>
      <c r="G98" s="330"/>
      <c r="H98" s="330"/>
      <c r="I98" s="330"/>
      <c r="J98" s="330"/>
      <c r="K98" s="331"/>
      <c r="L98" s="322"/>
    </row>
    <row r="99" spans="1:12" ht="14.4" x14ac:dyDescent="0.25">
      <c r="A99" s="323" t="s">
        <v>347</v>
      </c>
      <c r="B99" s="325">
        <v>3129220</v>
      </c>
      <c r="C99" s="325">
        <v>3242525</v>
      </c>
      <c r="D99" s="325">
        <v>3279740</v>
      </c>
      <c r="E99" s="325">
        <v>0</v>
      </c>
      <c r="F99" s="325">
        <v>0</v>
      </c>
      <c r="G99" s="325">
        <v>0</v>
      </c>
      <c r="H99" s="325">
        <v>0</v>
      </c>
      <c r="I99" s="325">
        <v>0</v>
      </c>
      <c r="J99" s="325">
        <v>0</v>
      </c>
      <c r="K99" s="325">
        <v>0</v>
      </c>
      <c r="L99" s="326"/>
    </row>
    <row r="100" spans="1:12" ht="14.4" x14ac:dyDescent="0.3">
      <c r="A100" s="360"/>
      <c r="B100" s="328"/>
      <c r="C100" s="328"/>
      <c r="D100" s="328"/>
      <c r="E100" s="361"/>
      <c r="F100" s="362"/>
      <c r="G100" s="361"/>
      <c r="H100" s="361"/>
      <c r="I100" s="361"/>
      <c r="J100" s="361"/>
      <c r="K100" s="363"/>
      <c r="L100" s="322"/>
    </row>
    <row r="101" spans="1:12" ht="14.4" x14ac:dyDescent="0.25">
      <c r="A101" s="323" t="s">
        <v>348</v>
      </c>
      <c r="B101" s="325">
        <v>5000</v>
      </c>
      <c r="C101" s="325">
        <v>720</v>
      </c>
      <c r="D101" s="325">
        <v>12899.6</v>
      </c>
      <c r="E101" s="325">
        <v>12179.6</v>
      </c>
      <c r="F101" s="325">
        <v>720</v>
      </c>
      <c r="G101" s="325">
        <v>0</v>
      </c>
      <c r="H101" s="325">
        <v>0</v>
      </c>
      <c r="I101" s="325">
        <v>0</v>
      </c>
      <c r="J101" s="325">
        <v>720</v>
      </c>
      <c r="K101" s="324">
        <v>0</v>
      </c>
      <c r="L101" s="326"/>
    </row>
    <row r="102" spans="1:12" ht="14.4" x14ac:dyDescent="0.3">
      <c r="A102" s="332" t="s">
        <v>349</v>
      </c>
      <c r="B102" s="328">
        <v>0</v>
      </c>
      <c r="C102" s="328">
        <v>0</v>
      </c>
      <c r="D102" s="328">
        <v>0</v>
      </c>
      <c r="E102" s="333">
        <v>0</v>
      </c>
      <c r="F102" s="329">
        <v>0</v>
      </c>
      <c r="G102" s="333"/>
      <c r="H102" s="333"/>
      <c r="I102" s="333"/>
      <c r="J102" s="333"/>
      <c r="K102" s="334"/>
      <c r="L102" s="322"/>
    </row>
    <row r="103" spans="1:12" ht="14.4" x14ac:dyDescent="0.3">
      <c r="A103" s="332" t="s">
        <v>350</v>
      </c>
      <c r="B103" s="328">
        <v>0</v>
      </c>
      <c r="C103" s="328">
        <v>0</v>
      </c>
      <c r="D103" s="328">
        <v>0</v>
      </c>
      <c r="E103" s="333">
        <v>0</v>
      </c>
      <c r="F103" s="329">
        <v>0</v>
      </c>
      <c r="G103" s="333"/>
      <c r="H103" s="333"/>
      <c r="I103" s="333"/>
      <c r="J103" s="333"/>
      <c r="K103" s="334"/>
      <c r="L103" s="322"/>
    </row>
    <row r="104" spans="1:12" ht="14.4" x14ac:dyDescent="0.3">
      <c r="A104" s="332" t="s">
        <v>351</v>
      </c>
      <c r="B104" s="328">
        <v>5000</v>
      </c>
      <c r="C104" s="328">
        <v>720</v>
      </c>
      <c r="D104" s="328">
        <v>4899.6000000000004</v>
      </c>
      <c r="E104" s="333">
        <v>4179.6000000000004</v>
      </c>
      <c r="F104" s="329">
        <v>720</v>
      </c>
      <c r="G104" s="333">
        <v>0</v>
      </c>
      <c r="H104" s="333">
        <v>0</v>
      </c>
      <c r="I104" s="333">
        <v>0</v>
      </c>
      <c r="J104" s="333">
        <v>720</v>
      </c>
      <c r="K104" s="334">
        <v>0</v>
      </c>
      <c r="L104" s="322"/>
    </row>
    <row r="105" spans="1:12" ht="14.4" x14ac:dyDescent="0.3">
      <c r="A105" s="332" t="s">
        <v>352</v>
      </c>
      <c r="B105" s="328">
        <v>0</v>
      </c>
      <c r="C105" s="328">
        <v>0</v>
      </c>
      <c r="D105" s="328">
        <v>8000</v>
      </c>
      <c r="E105" s="333">
        <v>8000</v>
      </c>
      <c r="F105" s="329">
        <v>0</v>
      </c>
      <c r="G105" s="333"/>
      <c r="H105" s="333"/>
      <c r="I105" s="333"/>
      <c r="J105" s="333"/>
      <c r="K105" s="334"/>
      <c r="L105" s="322"/>
    </row>
    <row r="106" spans="1:12" ht="14.4" x14ac:dyDescent="0.25">
      <c r="A106" s="323" t="s">
        <v>353</v>
      </c>
      <c r="B106" s="325"/>
      <c r="C106" s="325"/>
      <c r="D106" s="325"/>
      <c r="E106" s="364"/>
      <c r="F106" s="325"/>
      <c r="G106" s="365"/>
      <c r="H106" s="365"/>
      <c r="I106" s="365"/>
      <c r="J106" s="365"/>
      <c r="K106" s="366"/>
      <c r="L106" s="326"/>
    </row>
    <row r="107" spans="1:12" ht="14.4" x14ac:dyDescent="0.3">
      <c r="A107" s="367"/>
      <c r="B107" s="368"/>
      <c r="C107" s="368"/>
      <c r="D107" s="368"/>
      <c r="E107" s="369"/>
      <c r="F107" s="370"/>
      <c r="G107" s="371"/>
      <c r="H107" s="369"/>
      <c r="I107" s="369"/>
      <c r="J107" s="369"/>
      <c r="K107" s="369"/>
      <c r="L107" s="372"/>
    </row>
    <row r="108" spans="1:12" ht="14.4" x14ac:dyDescent="0.3">
      <c r="A108" s="356" t="s">
        <v>354</v>
      </c>
      <c r="B108" s="357">
        <v>3134220</v>
      </c>
      <c r="C108" s="357">
        <v>3243245</v>
      </c>
      <c r="D108" s="357">
        <v>3292639.6</v>
      </c>
      <c r="E108" s="357">
        <v>12179.6</v>
      </c>
      <c r="F108" s="357">
        <v>720</v>
      </c>
      <c r="G108" s="357">
        <v>0</v>
      </c>
      <c r="H108" s="357">
        <v>0</v>
      </c>
      <c r="I108" s="357">
        <v>0</v>
      </c>
      <c r="J108" s="357">
        <v>720</v>
      </c>
      <c r="K108" s="357">
        <v>0</v>
      </c>
      <c r="L108" s="359"/>
    </row>
    <row r="109" spans="1:12" ht="14.4" x14ac:dyDescent="0.3">
      <c r="A109" s="367"/>
      <c r="B109" s="368"/>
      <c r="C109" s="368"/>
      <c r="D109" s="368"/>
      <c r="E109" s="369"/>
      <c r="F109" s="370"/>
      <c r="G109" s="369"/>
      <c r="H109" s="369"/>
      <c r="I109" s="369"/>
      <c r="J109" s="369"/>
      <c r="K109" s="369"/>
      <c r="L109" s="372"/>
    </row>
    <row r="110" spans="1:12" ht="14.4" x14ac:dyDescent="0.3">
      <c r="A110" s="373" t="s">
        <v>355</v>
      </c>
      <c r="B110" s="374">
        <v>-341563</v>
      </c>
      <c r="C110" s="374">
        <v>-292918.89999999991</v>
      </c>
      <c r="D110" s="374">
        <v>-298515.39999999991</v>
      </c>
      <c r="E110" s="375" t="s">
        <v>1020</v>
      </c>
      <c r="F110" s="376"/>
      <c r="G110" s="371"/>
      <c r="H110" s="371"/>
      <c r="I110" s="371"/>
      <c r="J110" s="371"/>
      <c r="K110" s="371"/>
      <c r="L110" s="372"/>
    </row>
    <row r="111" spans="1:12" ht="14.4" x14ac:dyDescent="0.3">
      <c r="A111" s="367"/>
      <c r="B111" s="368"/>
      <c r="C111" s="368"/>
      <c r="D111" s="368"/>
      <c r="E111" s="369"/>
      <c r="F111" s="370"/>
      <c r="G111" s="369"/>
      <c r="H111" s="369"/>
      <c r="I111" s="369"/>
      <c r="J111" s="369"/>
      <c r="K111" s="369"/>
      <c r="L111" s="372"/>
    </row>
    <row r="112" spans="1:12" ht="14.4" x14ac:dyDescent="0.25">
      <c r="A112" s="377" t="s">
        <v>356</v>
      </c>
      <c r="B112" s="378">
        <v>0</v>
      </c>
      <c r="C112" s="378">
        <v>0</v>
      </c>
      <c r="D112" s="378">
        <v>0</v>
      </c>
      <c r="E112" s="378">
        <v>0</v>
      </c>
      <c r="F112" s="378">
        <v>0</v>
      </c>
      <c r="G112" s="378">
        <v>0</v>
      </c>
      <c r="H112" s="378">
        <v>0</v>
      </c>
      <c r="I112" s="378">
        <v>0</v>
      </c>
      <c r="J112" s="378">
        <v>0</v>
      </c>
      <c r="K112" s="378">
        <v>0</v>
      </c>
      <c r="L112" s="372"/>
    </row>
    <row r="113" spans="1:12" ht="14.4" x14ac:dyDescent="0.3">
      <c r="A113" s="367"/>
      <c r="B113" s="368"/>
      <c r="C113" s="368"/>
      <c r="D113" s="368"/>
      <c r="E113" s="379"/>
      <c r="F113" s="379"/>
      <c r="G113" s="379"/>
      <c r="H113" s="379"/>
      <c r="I113" s="379"/>
      <c r="J113" s="379"/>
      <c r="K113" s="379"/>
      <c r="L113" s="372"/>
    </row>
    <row r="114" spans="1:12" ht="14.4" x14ac:dyDescent="0.25">
      <c r="A114" s="380" t="s">
        <v>357</v>
      </c>
      <c r="B114" s="378">
        <v>0</v>
      </c>
      <c r="C114" s="378">
        <v>0</v>
      </c>
      <c r="D114" s="378">
        <v>0</v>
      </c>
      <c r="E114" s="378">
        <v>0</v>
      </c>
      <c r="F114" s="378">
        <v>0</v>
      </c>
      <c r="G114" s="378">
        <v>0</v>
      </c>
      <c r="H114" s="378">
        <v>0</v>
      </c>
      <c r="I114" s="378">
        <v>0</v>
      </c>
      <c r="J114" s="378">
        <v>0</v>
      </c>
      <c r="K114" s="378">
        <v>0</v>
      </c>
      <c r="L114" s="372"/>
    </row>
    <row r="115" spans="1:12" ht="14.4" x14ac:dyDescent="0.3">
      <c r="A115" s="367"/>
      <c r="B115" s="368"/>
      <c r="C115" s="368"/>
      <c r="D115" s="368"/>
      <c r="E115" s="381"/>
      <c r="F115" s="379"/>
      <c r="G115" s="381"/>
      <c r="H115" s="381"/>
      <c r="I115" s="381"/>
      <c r="J115" s="381"/>
      <c r="K115" s="381"/>
      <c r="L115" s="372"/>
    </row>
    <row r="116" spans="1:12" ht="14.4" x14ac:dyDescent="0.3">
      <c r="A116" s="367"/>
      <c r="B116" s="368"/>
      <c r="C116" s="368"/>
      <c r="D116" s="368"/>
      <c r="E116" s="381"/>
      <c r="F116" s="379"/>
      <c r="G116" s="381"/>
      <c r="H116" s="381"/>
      <c r="I116" s="381"/>
      <c r="J116" s="381"/>
      <c r="K116" s="381"/>
      <c r="L116" s="372"/>
    </row>
    <row r="117" spans="1:12" ht="14.4" x14ac:dyDescent="0.3">
      <c r="A117" s="22"/>
      <c r="B117" s="368"/>
      <c r="C117" s="368"/>
      <c r="D117" s="368"/>
      <c r="E117" s="368"/>
      <c r="F117" s="368"/>
      <c r="G117" s="368"/>
      <c r="H117" s="381"/>
      <c r="I117" s="381"/>
      <c r="J117" s="381"/>
      <c r="K117" s="381"/>
      <c r="L117" s="372"/>
    </row>
    <row r="118" spans="1:12" ht="43.8" thickBot="1" x14ac:dyDescent="0.35">
      <c r="A118" s="382" t="s">
        <v>1021</v>
      </c>
      <c r="B118" s="368"/>
      <c r="C118" s="368"/>
      <c r="D118" s="367"/>
      <c r="E118" s="383" t="s">
        <v>358</v>
      </c>
      <c r="F118" s="384" t="s">
        <v>359</v>
      </c>
      <c r="G118" s="385" t="s">
        <v>360</v>
      </c>
      <c r="H118" s="385" t="s">
        <v>361</v>
      </c>
      <c r="I118" s="29"/>
      <c r="J118" s="22"/>
      <c r="K118" s="22"/>
      <c r="L118" s="372"/>
    </row>
    <row r="119" spans="1:12" ht="14.4" x14ac:dyDescent="0.3">
      <c r="A119" s="386" t="s">
        <v>1022</v>
      </c>
      <c r="B119" s="387">
        <v>-298515.39999999991</v>
      </c>
      <c r="C119" s="379" t="s">
        <v>362</v>
      </c>
      <c r="D119" s="379" t="s">
        <v>362</v>
      </c>
      <c r="E119" s="388" t="s">
        <v>363</v>
      </c>
      <c r="F119" s="389">
        <v>6046</v>
      </c>
      <c r="G119" s="390">
        <v>470</v>
      </c>
      <c r="H119" s="391">
        <v>2841620</v>
      </c>
      <c r="I119" s="381"/>
      <c r="J119" s="381"/>
      <c r="K119" s="381"/>
      <c r="L119" s="372"/>
    </row>
    <row r="120" spans="1:12" ht="14.4" x14ac:dyDescent="0.3">
      <c r="A120" s="392" t="s">
        <v>1023</v>
      </c>
      <c r="B120" s="393">
        <v>-3279740</v>
      </c>
      <c r="C120" s="379" t="s">
        <v>364</v>
      </c>
      <c r="D120" s="379" t="s">
        <v>364</v>
      </c>
      <c r="E120" s="388" t="s">
        <v>365</v>
      </c>
      <c r="F120" s="389">
        <v>769</v>
      </c>
      <c r="G120" s="390">
        <v>100</v>
      </c>
      <c r="H120" s="391">
        <v>76900</v>
      </c>
      <c r="I120" s="381"/>
      <c r="J120" s="381"/>
      <c r="K120" s="381"/>
      <c r="L120" s="372"/>
    </row>
    <row r="121" spans="1:12" ht="14.4" x14ac:dyDescent="0.3">
      <c r="A121" s="392" t="s">
        <v>1024</v>
      </c>
      <c r="B121" s="393">
        <v>3506171</v>
      </c>
      <c r="C121" s="379" t="s">
        <v>366</v>
      </c>
      <c r="D121" s="379" t="s">
        <v>366</v>
      </c>
      <c r="E121" s="388" t="s">
        <v>367</v>
      </c>
      <c r="F121" s="389">
        <v>2107</v>
      </c>
      <c r="G121" s="390">
        <v>100</v>
      </c>
      <c r="H121" s="391">
        <v>210700</v>
      </c>
      <c r="I121" s="381"/>
      <c r="J121" s="381"/>
      <c r="K121" s="381"/>
      <c r="L121" s="372"/>
    </row>
    <row r="122" spans="1:12" ht="14.4" x14ac:dyDescent="0.3">
      <c r="A122" s="394" t="s">
        <v>1025</v>
      </c>
      <c r="B122" s="395"/>
      <c r="C122" s="367"/>
      <c r="D122" s="367"/>
      <c r="E122" s="381"/>
      <c r="F122" s="381"/>
      <c r="G122" s="379">
        <v>2022</v>
      </c>
      <c r="H122" s="396">
        <v>3129220</v>
      </c>
      <c r="I122" s="381"/>
      <c r="J122" s="381"/>
      <c r="K122" s="381"/>
      <c r="L122" s="372"/>
    </row>
    <row r="123" spans="1:12" ht="15" thickBot="1" x14ac:dyDescent="0.35">
      <c r="A123" s="397" t="s">
        <v>1026</v>
      </c>
      <c r="B123" s="398">
        <v>-72084.399999999907</v>
      </c>
      <c r="C123" s="367"/>
      <c r="D123" s="367"/>
      <c r="E123" s="381"/>
      <c r="F123" s="381"/>
      <c r="G123" s="381"/>
      <c r="H123" s="381"/>
      <c r="I123" s="381"/>
      <c r="J123" s="381"/>
      <c r="K123" s="381"/>
      <c r="L123" s="372"/>
    </row>
    <row r="124" spans="1:12" ht="14.4" x14ac:dyDescent="0.3">
      <c r="A124" s="22"/>
      <c r="B124" s="368"/>
      <c r="C124" s="367"/>
      <c r="D124" s="367"/>
      <c r="E124" s="379"/>
      <c r="F124" s="379"/>
      <c r="G124" s="379"/>
      <c r="H124" s="379"/>
      <c r="I124" s="29"/>
      <c r="J124" s="29"/>
      <c r="K124" s="29"/>
      <c r="L124" s="372"/>
    </row>
    <row r="125" spans="1:12" ht="43.2" x14ac:dyDescent="0.3">
      <c r="A125" s="22"/>
      <c r="B125" s="368"/>
      <c r="C125" s="367"/>
      <c r="D125" s="399"/>
      <c r="E125" s="383" t="s">
        <v>358</v>
      </c>
      <c r="F125" s="384" t="s">
        <v>359</v>
      </c>
      <c r="G125" s="385" t="s">
        <v>360</v>
      </c>
      <c r="H125" s="385" t="s">
        <v>361</v>
      </c>
      <c r="I125" s="29"/>
      <c r="J125" s="29"/>
      <c r="K125" s="29"/>
      <c r="L125" s="372"/>
    </row>
    <row r="126" spans="1:12" ht="14.4" x14ac:dyDescent="0.3">
      <c r="A126" s="22"/>
      <c r="B126" s="368"/>
      <c r="C126" s="379" t="s">
        <v>362</v>
      </c>
      <c r="D126" s="379" t="s">
        <v>362</v>
      </c>
      <c r="E126" s="388" t="s">
        <v>363</v>
      </c>
      <c r="F126" s="389">
        <v>6031</v>
      </c>
      <c r="G126" s="390">
        <v>495</v>
      </c>
      <c r="H126" s="391">
        <v>2985345</v>
      </c>
      <c r="I126" s="29"/>
      <c r="J126" s="29"/>
      <c r="K126" s="29"/>
      <c r="L126" s="372"/>
    </row>
    <row r="127" spans="1:12" ht="14.4" x14ac:dyDescent="0.3">
      <c r="A127" s="367"/>
      <c r="B127" s="368"/>
      <c r="C127" s="379" t="s">
        <v>364</v>
      </c>
      <c r="D127" s="379" t="s">
        <v>364</v>
      </c>
      <c r="E127" s="388" t="s">
        <v>365</v>
      </c>
      <c r="F127" s="389">
        <v>760</v>
      </c>
      <c r="G127" s="390">
        <v>110</v>
      </c>
      <c r="H127" s="391">
        <v>83600</v>
      </c>
      <c r="I127" s="29"/>
      <c r="J127" s="29"/>
      <c r="K127" s="29"/>
      <c r="L127" s="372"/>
    </row>
    <row r="128" spans="1:12" ht="14.4" x14ac:dyDescent="0.3">
      <c r="A128" s="22"/>
      <c r="B128" s="368"/>
      <c r="C128" s="379" t="s">
        <v>366</v>
      </c>
      <c r="D128" s="379" t="s">
        <v>366</v>
      </c>
      <c r="E128" s="388" t="s">
        <v>367</v>
      </c>
      <c r="F128" s="389">
        <v>1578</v>
      </c>
      <c r="G128" s="390">
        <v>110</v>
      </c>
      <c r="H128" s="391">
        <v>173580</v>
      </c>
      <c r="I128" s="29"/>
      <c r="J128" s="29"/>
      <c r="K128" s="29"/>
      <c r="L128" s="372"/>
    </row>
    <row r="129" spans="1:12" ht="14.4" x14ac:dyDescent="0.3">
      <c r="A129" s="22"/>
      <c r="B129" s="368"/>
      <c r="C129" s="367"/>
      <c r="D129" s="367"/>
      <c r="E129" s="381"/>
      <c r="F129" s="381"/>
      <c r="G129" s="379">
        <v>2023</v>
      </c>
      <c r="H129" s="396">
        <v>3242525</v>
      </c>
      <c r="I129" s="29"/>
      <c r="J129" s="29"/>
      <c r="K129" s="29"/>
      <c r="L129" s="372"/>
    </row>
    <row r="130" spans="1:12" ht="14.4" x14ac:dyDescent="0.3">
      <c r="A130" s="367"/>
      <c r="B130" s="368"/>
      <c r="C130" s="22"/>
      <c r="D130" s="22"/>
      <c r="E130" s="29"/>
      <c r="F130" s="29"/>
      <c r="G130" s="29"/>
      <c r="H130" s="29"/>
      <c r="I130" s="29"/>
      <c r="J130" s="29"/>
      <c r="K130" s="29"/>
      <c r="L130" s="372"/>
    </row>
    <row r="131" spans="1:12" x14ac:dyDescent="0.25">
      <c r="A131" s="22"/>
      <c r="B131" s="368"/>
      <c r="C131" s="22"/>
      <c r="D131" s="22"/>
      <c r="E131" s="29"/>
      <c r="F131" s="29"/>
      <c r="G131" s="29"/>
      <c r="H131" s="29"/>
      <c r="I131" s="22"/>
      <c r="J131" s="22"/>
      <c r="K131" s="22"/>
      <c r="L131" s="400"/>
    </row>
    <row r="132" spans="1:12" ht="57.6" x14ac:dyDescent="0.3">
      <c r="A132" s="22"/>
      <c r="B132" s="368"/>
      <c r="C132" s="399"/>
      <c r="D132" s="399"/>
      <c r="E132" s="383" t="s">
        <v>358</v>
      </c>
      <c r="F132" s="384" t="s">
        <v>359</v>
      </c>
      <c r="G132" s="401" t="s">
        <v>1027</v>
      </c>
      <c r="H132" s="385" t="s">
        <v>361</v>
      </c>
      <c r="I132" s="399"/>
      <c r="J132" s="399"/>
      <c r="K132" s="399"/>
      <c r="L132" s="402"/>
    </row>
    <row r="133" spans="1:12" ht="14.4" x14ac:dyDescent="0.3">
      <c r="A133" s="22"/>
      <c r="B133" s="368"/>
      <c r="C133" s="379" t="s">
        <v>362</v>
      </c>
      <c r="D133" s="379" t="s">
        <v>362</v>
      </c>
      <c r="E133" s="388" t="s">
        <v>363</v>
      </c>
      <c r="F133" s="389">
        <v>6040</v>
      </c>
      <c r="G133" s="403">
        <v>500</v>
      </c>
      <c r="H133" s="391">
        <v>3020000</v>
      </c>
      <c r="I133" s="22" t="s">
        <v>1028</v>
      </c>
      <c r="J133" s="399"/>
      <c r="K133" s="22"/>
      <c r="L133" s="400"/>
    </row>
    <row r="134" spans="1:12" ht="14.4" x14ac:dyDescent="0.3">
      <c r="A134" s="367"/>
      <c r="B134" s="368"/>
      <c r="C134" s="379" t="s">
        <v>364</v>
      </c>
      <c r="D134" s="379" t="s">
        <v>364</v>
      </c>
      <c r="E134" s="388" t="s">
        <v>365</v>
      </c>
      <c r="F134" s="389">
        <v>711</v>
      </c>
      <c r="G134" s="390">
        <v>111</v>
      </c>
      <c r="H134" s="391">
        <v>78921</v>
      </c>
      <c r="I134" s="22"/>
      <c r="J134" s="399"/>
      <c r="K134" s="22"/>
      <c r="L134" s="400"/>
    </row>
    <row r="135" spans="1:12" ht="14.4" x14ac:dyDescent="0.3">
      <c r="A135" s="22"/>
      <c r="B135" s="368"/>
      <c r="C135" s="379" t="s">
        <v>366</v>
      </c>
      <c r="D135" s="379" t="s">
        <v>366</v>
      </c>
      <c r="E135" s="388" t="s">
        <v>367</v>
      </c>
      <c r="F135" s="389">
        <v>1629</v>
      </c>
      <c r="G135" s="390">
        <v>111</v>
      </c>
      <c r="H135" s="391">
        <v>180819</v>
      </c>
      <c r="I135" s="22"/>
      <c r="J135" s="22"/>
      <c r="K135" s="22"/>
      <c r="L135" s="400"/>
    </row>
    <row r="136" spans="1:12" ht="14.4" x14ac:dyDescent="0.3">
      <c r="A136" s="22"/>
      <c r="B136" s="368"/>
      <c r="C136" s="367"/>
      <c r="D136" s="367"/>
      <c r="E136" s="381"/>
      <c r="F136" s="381"/>
      <c r="G136" s="379">
        <v>2023</v>
      </c>
      <c r="H136" s="396">
        <v>3279740</v>
      </c>
      <c r="I136" s="29"/>
      <c r="J136" s="22"/>
      <c r="K136" s="22"/>
      <c r="L136" s="400"/>
    </row>
    <row r="137" spans="1:12" x14ac:dyDescent="0.25">
      <c r="A137" s="22"/>
      <c r="B137" s="368"/>
      <c r="C137" s="368"/>
      <c r="D137" s="368"/>
      <c r="E137" s="29"/>
      <c r="F137" s="29"/>
      <c r="G137" s="29"/>
      <c r="H137" s="29"/>
      <c r="I137" s="29"/>
      <c r="J137" s="29"/>
      <c r="K137" s="29"/>
      <c r="L137" s="372"/>
    </row>
    <row r="138" spans="1:12" x14ac:dyDescent="0.25">
      <c r="A138" s="22"/>
      <c r="B138" s="368"/>
      <c r="C138" s="368"/>
      <c r="D138" s="368"/>
      <c r="E138" s="22"/>
      <c r="F138" s="29" t="s">
        <v>1028</v>
      </c>
      <c r="G138" s="22"/>
      <c r="H138" s="22"/>
      <c r="I138" s="22"/>
      <c r="J138" s="22"/>
      <c r="K138" s="22"/>
      <c r="L138" s="400"/>
    </row>
    <row r="139" spans="1:12" ht="43.2" x14ac:dyDescent="0.25">
      <c r="A139" s="22"/>
      <c r="B139" s="368"/>
      <c r="C139" s="368"/>
      <c r="D139" s="368"/>
      <c r="E139" s="404" t="s">
        <v>369</v>
      </c>
      <c r="F139" s="405" t="s">
        <v>359</v>
      </c>
      <c r="G139" s="405" t="s">
        <v>370</v>
      </c>
      <c r="H139" s="22"/>
      <c r="I139" s="22"/>
      <c r="J139" s="22"/>
      <c r="K139" s="22"/>
      <c r="L139" s="400"/>
    </row>
    <row r="140" spans="1:12" x14ac:dyDescent="0.25">
      <c r="A140" s="22"/>
      <c r="B140" s="368"/>
      <c r="C140" s="368"/>
      <c r="D140" s="368"/>
      <c r="E140" s="406" t="s">
        <v>267</v>
      </c>
      <c r="F140" s="391">
        <v>2659</v>
      </c>
      <c r="G140" s="391">
        <v>5503</v>
      </c>
      <c r="H140" s="22"/>
      <c r="I140" s="22"/>
      <c r="J140" s="22"/>
      <c r="K140" s="22"/>
      <c r="L140" s="400"/>
    </row>
    <row r="141" spans="1:12" x14ac:dyDescent="0.25">
      <c r="A141" s="22"/>
      <c r="B141" s="368"/>
      <c r="C141" s="368"/>
      <c r="D141" s="368"/>
      <c r="E141" s="406" t="s">
        <v>371</v>
      </c>
      <c r="F141" s="391">
        <v>564</v>
      </c>
      <c r="G141" s="391">
        <v>1167</v>
      </c>
      <c r="H141" s="22"/>
      <c r="I141" s="22"/>
      <c r="J141" s="22"/>
      <c r="K141" s="22"/>
      <c r="L141" s="400"/>
    </row>
    <row r="142" spans="1:12" x14ac:dyDescent="0.25">
      <c r="A142" s="22"/>
      <c r="B142" s="368"/>
      <c r="C142" s="368"/>
      <c r="D142" s="368"/>
      <c r="E142" s="406" t="s">
        <v>372</v>
      </c>
      <c r="F142" s="391">
        <v>1051</v>
      </c>
      <c r="G142" s="391">
        <v>2175</v>
      </c>
      <c r="H142" s="22"/>
      <c r="I142" s="22"/>
      <c r="J142" s="22"/>
      <c r="K142" s="22"/>
      <c r="L142" s="400"/>
    </row>
    <row r="143" spans="1:12" x14ac:dyDescent="0.25">
      <c r="A143" s="22"/>
      <c r="B143" s="368"/>
      <c r="C143" s="368"/>
      <c r="D143" s="368"/>
      <c r="E143" s="406" t="s">
        <v>373</v>
      </c>
      <c r="F143" s="391">
        <v>295</v>
      </c>
      <c r="G143" s="391">
        <v>611</v>
      </c>
      <c r="H143" s="22"/>
      <c r="I143" s="22"/>
      <c r="J143" s="22"/>
      <c r="K143" s="22"/>
      <c r="L143" s="400"/>
    </row>
    <row r="144" spans="1:12" x14ac:dyDescent="0.25">
      <c r="A144" s="22"/>
      <c r="B144" s="368"/>
      <c r="C144" s="368"/>
      <c r="D144" s="368"/>
      <c r="E144" s="406" t="s">
        <v>374</v>
      </c>
      <c r="F144" s="391">
        <v>1471</v>
      </c>
      <c r="G144" s="391">
        <v>3044</v>
      </c>
      <c r="H144" s="22"/>
      <c r="I144" s="22"/>
      <c r="J144" s="22"/>
      <c r="K144" s="22"/>
      <c r="L144" s="400"/>
    </row>
    <row r="145" spans="1:12" ht="14.4" x14ac:dyDescent="0.3">
      <c r="A145" s="22"/>
      <c r="B145" s="368"/>
      <c r="C145" s="368"/>
      <c r="D145" s="368"/>
      <c r="E145" s="29"/>
      <c r="F145" s="396">
        <v>6040</v>
      </c>
      <c r="G145" s="396">
        <v>12500</v>
      </c>
      <c r="H145" s="22"/>
      <c r="I145" s="22"/>
      <c r="J145" s="22"/>
      <c r="K145" s="22"/>
      <c r="L145" s="400"/>
    </row>
    <row r="146" spans="1:12" x14ac:dyDescent="0.25">
      <c r="A146" s="22"/>
      <c r="B146" s="368"/>
      <c r="C146" s="368"/>
      <c r="D146" s="368"/>
      <c r="E146" s="29"/>
      <c r="F146" s="29"/>
      <c r="G146" s="29"/>
      <c r="H146" s="22"/>
      <c r="I146" s="22"/>
      <c r="J146" s="22"/>
      <c r="K146" s="22"/>
      <c r="L146" s="400"/>
    </row>
    <row r="147" spans="1:12" ht="14.4" x14ac:dyDescent="0.3">
      <c r="A147" s="22"/>
      <c r="B147" s="368"/>
      <c r="C147" s="368"/>
      <c r="D147" s="368"/>
      <c r="E147" s="29" t="s">
        <v>361</v>
      </c>
      <c r="F147" s="407">
        <v>12500</v>
      </c>
      <c r="G147" s="408"/>
      <c r="H147" s="22"/>
      <c r="I147" s="22"/>
      <c r="J147" s="22"/>
      <c r="K147" s="22"/>
      <c r="L147" s="40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4EC8F-25BD-4CE7-AAB8-44DF0DD1A279}">
  <sheetPr>
    <tabColor theme="1"/>
  </sheetPr>
  <dimension ref="A1:F125"/>
  <sheetViews>
    <sheetView topLeftCell="A16" workbookViewId="0">
      <selection activeCell="E42" sqref="E42"/>
    </sheetView>
  </sheetViews>
  <sheetFormatPr baseColWidth="10" defaultColWidth="9.33203125" defaultRowHeight="13.8" x14ac:dyDescent="0.25"/>
  <cols>
    <col min="1" max="1" width="67.6640625" style="276" bestFit="1" customWidth="1"/>
    <col min="2" max="2" width="14.44140625" style="276" bestFit="1" customWidth="1"/>
    <col min="3" max="3" width="49.109375" customWidth="1"/>
    <col min="5" max="5" width="65.44140625" bestFit="1" customWidth="1"/>
  </cols>
  <sheetData>
    <row r="1" spans="1:2" ht="35.4" thickBot="1" x14ac:dyDescent="0.3">
      <c r="A1" s="295">
        <f>B4</f>
        <v>15272.816000000001</v>
      </c>
      <c r="B1" s="261" t="s">
        <v>989</v>
      </c>
    </row>
    <row r="2" spans="1:2" ht="16.2" thickBot="1" x14ac:dyDescent="0.35">
      <c r="A2" s="262" t="s">
        <v>47</v>
      </c>
      <c r="B2" s="263">
        <f>SUM(B3:B13)</f>
        <v>424214.58499666658</v>
      </c>
    </row>
    <row r="3" spans="1:2" x14ac:dyDescent="0.25">
      <c r="A3" s="8" t="s">
        <v>49</v>
      </c>
      <c r="B3" s="264">
        <v>284440.36772666662</v>
      </c>
    </row>
    <row r="4" spans="1:2" x14ac:dyDescent="0.25">
      <c r="A4" s="8" t="s">
        <v>50</v>
      </c>
      <c r="B4" s="264">
        <v>15272.816000000001</v>
      </c>
    </row>
    <row r="5" spans="1:2" x14ac:dyDescent="0.25">
      <c r="A5" s="8" t="s">
        <v>187</v>
      </c>
      <c r="B5" s="264">
        <v>23866.907999999996</v>
      </c>
    </row>
    <row r="6" spans="1:2" x14ac:dyDescent="0.25">
      <c r="A6" s="8" t="s">
        <v>188</v>
      </c>
      <c r="B6" s="264">
        <v>416.83200000000005</v>
      </c>
    </row>
    <row r="7" spans="1:2" x14ac:dyDescent="0.25">
      <c r="A7" s="8" t="s">
        <v>189</v>
      </c>
      <c r="B7" s="264">
        <v>0</v>
      </c>
    </row>
    <row r="8" spans="1:2" x14ac:dyDescent="0.25">
      <c r="A8" s="8" t="s">
        <v>190</v>
      </c>
      <c r="B8" s="264">
        <v>29900</v>
      </c>
    </row>
    <row r="9" spans="1:2" x14ac:dyDescent="0.25">
      <c r="A9" s="8" t="s">
        <v>191</v>
      </c>
      <c r="B9" s="264">
        <v>28484.104799999997</v>
      </c>
    </row>
    <row r="10" spans="1:2" x14ac:dyDescent="0.25">
      <c r="A10" s="8" t="s">
        <v>192</v>
      </c>
      <c r="B10" s="264">
        <v>16137.270349999997</v>
      </c>
    </row>
    <row r="11" spans="1:2" x14ac:dyDescent="0.25">
      <c r="A11" s="8" t="s">
        <v>193</v>
      </c>
      <c r="B11" s="264">
        <v>7500</v>
      </c>
    </row>
    <row r="12" spans="1:2" x14ac:dyDescent="0.25">
      <c r="A12" s="8" t="s">
        <v>194</v>
      </c>
      <c r="B12" s="264">
        <v>600</v>
      </c>
    </row>
    <row r="13" spans="1:2" ht="14.4" thickBot="1" x14ac:dyDescent="0.3">
      <c r="A13" s="8" t="s">
        <v>60</v>
      </c>
      <c r="B13" s="264">
        <v>17596.286120000001</v>
      </c>
    </row>
    <row r="14" spans="1:2" ht="16.2" thickBot="1" x14ac:dyDescent="0.35">
      <c r="A14" s="262" t="s">
        <v>63</v>
      </c>
      <c r="B14" s="265">
        <v>357966.93411884998</v>
      </c>
    </row>
    <row r="15" spans="1:2" x14ac:dyDescent="0.25">
      <c r="A15" s="8" t="s">
        <v>65</v>
      </c>
      <c r="B15" s="264">
        <v>2400</v>
      </c>
    </row>
    <row r="16" spans="1:2" x14ac:dyDescent="0.25">
      <c r="A16" s="8" t="s">
        <v>67</v>
      </c>
      <c r="B16" s="264">
        <v>29117.5</v>
      </c>
    </row>
    <row r="17" spans="1:2" x14ac:dyDescent="0.25">
      <c r="A17" s="8" t="s">
        <v>69</v>
      </c>
      <c r="B17" s="264">
        <v>31790.959200000005</v>
      </c>
    </row>
    <row r="18" spans="1:2" x14ac:dyDescent="0.25">
      <c r="A18" s="8" t="s">
        <v>71</v>
      </c>
      <c r="B18" s="264">
        <v>7905.5396292499991</v>
      </c>
    </row>
    <row r="19" spans="1:2" x14ac:dyDescent="0.25">
      <c r="A19" s="8" t="s">
        <v>990</v>
      </c>
      <c r="B19" s="264">
        <v>8552.5999999999985</v>
      </c>
    </row>
    <row r="20" spans="1:2" x14ac:dyDescent="0.25">
      <c r="A20" s="8" t="s">
        <v>74</v>
      </c>
      <c r="B20" s="264">
        <v>7750</v>
      </c>
    </row>
    <row r="21" spans="1:2" x14ac:dyDescent="0.25">
      <c r="A21" s="8" t="s">
        <v>76</v>
      </c>
      <c r="B21" s="264">
        <v>1000</v>
      </c>
    </row>
    <row r="22" spans="1:2" x14ac:dyDescent="0.25">
      <c r="A22" s="8" t="s">
        <v>78</v>
      </c>
      <c r="B22" s="264">
        <v>2000</v>
      </c>
    </row>
    <row r="23" spans="1:2" x14ac:dyDescent="0.25">
      <c r="A23" s="8" t="s">
        <v>81</v>
      </c>
      <c r="B23" s="264">
        <v>16775.36</v>
      </c>
    </row>
    <row r="24" spans="1:2" x14ac:dyDescent="0.25">
      <c r="A24" s="8" t="s">
        <v>196</v>
      </c>
      <c r="B24" s="264">
        <v>9000</v>
      </c>
    </row>
    <row r="25" spans="1:2" x14ac:dyDescent="0.25">
      <c r="A25" s="8" t="s">
        <v>85</v>
      </c>
      <c r="B25" s="264">
        <v>0</v>
      </c>
    </row>
    <row r="26" spans="1:2" x14ac:dyDescent="0.25">
      <c r="A26" s="8" t="s">
        <v>197</v>
      </c>
      <c r="B26" s="264">
        <v>10000</v>
      </c>
    </row>
    <row r="27" spans="1:2" x14ac:dyDescent="0.25">
      <c r="A27" s="8" t="s">
        <v>198</v>
      </c>
      <c r="B27" s="264">
        <v>96625.975289599999</v>
      </c>
    </row>
    <row r="28" spans="1:2" x14ac:dyDescent="0.25">
      <c r="A28" s="8" t="s">
        <v>91</v>
      </c>
      <c r="B28" s="264">
        <v>89449</v>
      </c>
    </row>
    <row r="29" spans="1:2" x14ac:dyDescent="0.25">
      <c r="A29" s="8" t="s">
        <v>150</v>
      </c>
      <c r="B29" s="264">
        <v>1600</v>
      </c>
    </row>
    <row r="30" spans="1:2" ht="14.4" thickBot="1" x14ac:dyDescent="0.3">
      <c r="A30" s="8" t="s">
        <v>199</v>
      </c>
      <c r="B30" s="264">
        <v>44000</v>
      </c>
    </row>
    <row r="31" spans="1:2" ht="16.2" thickBot="1" x14ac:dyDescent="0.35">
      <c r="A31" s="262" t="s">
        <v>97</v>
      </c>
      <c r="B31" s="266">
        <v>9303.9448500000017</v>
      </c>
    </row>
    <row r="32" spans="1:2" x14ac:dyDescent="0.25">
      <c r="A32" s="8" t="s">
        <v>99</v>
      </c>
      <c r="B32" s="264">
        <v>7193.3056000000006</v>
      </c>
    </row>
    <row r="33" spans="1:2" x14ac:dyDescent="0.25">
      <c r="A33" s="8" t="s">
        <v>200</v>
      </c>
      <c r="B33" s="264">
        <v>1663.5328499999998</v>
      </c>
    </row>
    <row r="34" spans="1:2" x14ac:dyDescent="0.25">
      <c r="A34" s="9" t="s">
        <v>201</v>
      </c>
      <c r="B34" s="264">
        <v>447.10640000000006</v>
      </c>
    </row>
    <row r="35" spans="1:2" ht="16.2" thickBot="1" x14ac:dyDescent="0.35">
      <c r="A35" s="267" t="s">
        <v>202</v>
      </c>
      <c r="B35" s="268">
        <v>630143.93810833327</v>
      </c>
    </row>
    <row r="36" spans="1:2" x14ac:dyDescent="0.25">
      <c r="A36" s="11" t="s">
        <v>106</v>
      </c>
      <c r="B36" s="264">
        <v>293216.09305799997</v>
      </c>
    </row>
    <row r="37" spans="1:2" x14ac:dyDescent="0.25">
      <c r="A37" s="12" t="s">
        <v>109</v>
      </c>
      <c r="B37" s="264">
        <v>107336.49007200002</v>
      </c>
    </row>
    <row r="38" spans="1:2" x14ac:dyDescent="0.25">
      <c r="A38" s="12" t="s">
        <v>112</v>
      </c>
      <c r="B38" s="264">
        <v>14721.680773333332</v>
      </c>
    </row>
    <row r="39" spans="1:2" x14ac:dyDescent="0.25">
      <c r="A39" s="12" t="s">
        <v>116</v>
      </c>
      <c r="B39" s="264">
        <v>79416.651488999996</v>
      </c>
    </row>
    <row r="40" spans="1:2" x14ac:dyDescent="0.25">
      <c r="A40" s="12" t="s">
        <v>119</v>
      </c>
      <c r="B40" s="264">
        <v>47436.528635999995</v>
      </c>
    </row>
    <row r="41" spans="1:2" x14ac:dyDescent="0.25">
      <c r="A41" s="12" t="s">
        <v>203</v>
      </c>
      <c r="B41" s="264">
        <v>10816.494079999999</v>
      </c>
    </row>
    <row r="42" spans="1:2" x14ac:dyDescent="0.25">
      <c r="A42" s="12" t="s">
        <v>204</v>
      </c>
      <c r="B42" s="264">
        <v>4300</v>
      </c>
    </row>
    <row r="43" spans="1:2" x14ac:dyDescent="0.25">
      <c r="A43" s="12" t="s">
        <v>205</v>
      </c>
      <c r="B43" s="264">
        <v>22500</v>
      </c>
    </row>
    <row r="44" spans="1:2" x14ac:dyDescent="0.25">
      <c r="A44" s="12" t="s">
        <v>125</v>
      </c>
      <c r="B44" s="264">
        <v>28500</v>
      </c>
    </row>
    <row r="45" spans="1:2" x14ac:dyDescent="0.25">
      <c r="A45" s="12" t="s">
        <v>206</v>
      </c>
      <c r="B45" s="264">
        <v>5400</v>
      </c>
    </row>
    <row r="46" spans="1:2" x14ac:dyDescent="0.25">
      <c r="A46" s="12" t="s">
        <v>207</v>
      </c>
      <c r="B46" s="264">
        <v>1000</v>
      </c>
    </row>
    <row r="47" spans="1:2" x14ac:dyDescent="0.25">
      <c r="A47" s="12" t="s">
        <v>132</v>
      </c>
      <c r="B47" s="264">
        <v>13000</v>
      </c>
    </row>
    <row r="48" spans="1:2" ht="14.4" thickBot="1" x14ac:dyDescent="0.3">
      <c r="A48" s="13" t="s">
        <v>129</v>
      </c>
      <c r="B48" s="264">
        <v>2500</v>
      </c>
    </row>
    <row r="49" spans="1:5" ht="16.2" thickBot="1" x14ac:dyDescent="0.35">
      <c r="A49" s="262" t="s">
        <v>208</v>
      </c>
      <c r="B49" s="265">
        <v>215061.4221249999</v>
      </c>
    </row>
    <row r="50" spans="1:5" x14ac:dyDescent="0.25">
      <c r="A50" s="14" t="s">
        <v>209</v>
      </c>
      <c r="B50" s="264">
        <v>52149.999999999993</v>
      </c>
    </row>
    <row r="51" spans="1:5" x14ac:dyDescent="0.25">
      <c r="A51" s="12" t="s">
        <v>210</v>
      </c>
      <c r="B51" s="269">
        <v>20860</v>
      </c>
    </row>
    <row r="52" spans="1:5" x14ac:dyDescent="0.25">
      <c r="A52" s="12" t="s">
        <v>211</v>
      </c>
      <c r="B52" s="269">
        <v>5215</v>
      </c>
      <c r="D52" t="s">
        <v>1001</v>
      </c>
      <c r="E52" t="s">
        <v>1002</v>
      </c>
    </row>
    <row r="53" spans="1:5" x14ac:dyDescent="0.25">
      <c r="A53" s="12" t="s">
        <v>212</v>
      </c>
      <c r="B53" s="264">
        <v>136836.4221249999</v>
      </c>
      <c r="D53">
        <v>113017.17037499989</v>
      </c>
      <c r="E53" s="249">
        <f>B53-D53</f>
        <v>23819.25175000001</v>
      </c>
    </row>
    <row r="54" spans="1:5" ht="14.4" thickBot="1" x14ac:dyDescent="0.3">
      <c r="A54" s="8" t="s">
        <v>991</v>
      </c>
      <c r="B54" s="269">
        <v>0</v>
      </c>
    </row>
    <row r="55" spans="1:5" ht="16.2" thickBot="1" x14ac:dyDescent="0.35">
      <c r="A55" s="262" t="s">
        <v>213</v>
      </c>
      <c r="B55" s="270">
        <v>245701.41899999999</v>
      </c>
    </row>
    <row r="56" spans="1:5" x14ac:dyDescent="0.25">
      <c r="A56" s="8" t="s">
        <v>992</v>
      </c>
      <c r="B56" s="264">
        <v>2657</v>
      </c>
    </row>
    <row r="57" spans="1:5" x14ac:dyDescent="0.25">
      <c r="A57" s="8" t="s">
        <v>215</v>
      </c>
      <c r="B57" s="264">
        <v>0</v>
      </c>
    </row>
    <row r="58" spans="1:5" x14ac:dyDescent="0.25">
      <c r="A58" s="8" t="s">
        <v>216</v>
      </c>
      <c r="B58" s="264">
        <v>0</v>
      </c>
    </row>
    <row r="59" spans="1:5" x14ac:dyDescent="0.25">
      <c r="A59" s="8" t="s">
        <v>217</v>
      </c>
      <c r="B59" s="264">
        <v>0</v>
      </c>
    </row>
    <row r="60" spans="1:5" x14ac:dyDescent="0.25">
      <c r="A60" s="8" t="s">
        <v>161</v>
      </c>
      <c r="B60" s="264">
        <v>10200</v>
      </c>
    </row>
    <row r="61" spans="1:5" x14ac:dyDescent="0.25">
      <c r="A61" s="8" t="s">
        <v>218</v>
      </c>
      <c r="B61" s="264">
        <v>61300</v>
      </c>
    </row>
    <row r="62" spans="1:5" x14ac:dyDescent="0.25">
      <c r="A62" s="8" t="s">
        <v>219</v>
      </c>
      <c r="B62" s="264">
        <v>0</v>
      </c>
    </row>
    <row r="63" spans="1:5" x14ac:dyDescent="0.25">
      <c r="A63" s="8" t="s">
        <v>220</v>
      </c>
      <c r="B63" s="264">
        <v>29743.75</v>
      </c>
    </row>
    <row r="64" spans="1:5" x14ac:dyDescent="0.25">
      <c r="A64" s="8" t="s">
        <v>221</v>
      </c>
      <c r="B64" s="264">
        <v>24500</v>
      </c>
    </row>
    <row r="65" spans="1:2" x14ac:dyDescent="0.25">
      <c r="A65" s="8" t="s">
        <v>222</v>
      </c>
      <c r="B65" s="264">
        <v>0</v>
      </c>
    </row>
    <row r="66" spans="1:2" x14ac:dyDescent="0.25">
      <c r="A66" s="8" t="s">
        <v>223</v>
      </c>
      <c r="B66" s="264">
        <v>0</v>
      </c>
    </row>
    <row r="67" spans="1:2" x14ac:dyDescent="0.25">
      <c r="A67" s="15" t="s">
        <v>224</v>
      </c>
      <c r="B67" s="264">
        <v>5000</v>
      </c>
    </row>
    <row r="68" spans="1:2" x14ac:dyDescent="0.25">
      <c r="A68" s="8" t="s">
        <v>225</v>
      </c>
      <c r="B68" s="264">
        <v>9500</v>
      </c>
    </row>
    <row r="69" spans="1:2" x14ac:dyDescent="0.25">
      <c r="A69" s="8" t="s">
        <v>226</v>
      </c>
      <c r="B69" s="264">
        <v>2500</v>
      </c>
    </row>
    <row r="70" spans="1:2" x14ac:dyDescent="0.25">
      <c r="A70" s="8" t="s">
        <v>227</v>
      </c>
      <c r="B70" s="264">
        <v>4000</v>
      </c>
    </row>
    <row r="71" spans="1:2" x14ac:dyDescent="0.25">
      <c r="A71" s="8" t="s">
        <v>228</v>
      </c>
      <c r="B71" s="264">
        <v>0</v>
      </c>
    </row>
    <row r="72" spans="1:2" x14ac:dyDescent="0.25">
      <c r="A72" s="8" t="s">
        <v>993</v>
      </c>
      <c r="B72" s="264">
        <v>73476</v>
      </c>
    </row>
    <row r="73" spans="1:2" x14ac:dyDescent="0.25">
      <c r="A73" s="8" t="s">
        <v>168</v>
      </c>
      <c r="B73" s="264">
        <v>6000</v>
      </c>
    </row>
    <row r="74" spans="1:2" ht="14.4" thickBot="1" x14ac:dyDescent="0.3">
      <c r="A74" s="13" t="s">
        <v>230</v>
      </c>
      <c r="B74" s="264">
        <v>16824.669000000002</v>
      </c>
    </row>
    <row r="75" spans="1:2" ht="15.6" x14ac:dyDescent="0.3">
      <c r="A75" s="271" t="s">
        <v>16</v>
      </c>
      <c r="B75" s="272">
        <v>2564146.6800000002</v>
      </c>
    </row>
    <row r="76" spans="1:2" x14ac:dyDescent="0.25">
      <c r="A76" s="8" t="s">
        <v>2</v>
      </c>
      <c r="B76" s="264">
        <v>2366200</v>
      </c>
    </row>
    <row r="77" spans="1:2" x14ac:dyDescent="0.25">
      <c r="A77" s="8" t="s">
        <v>231</v>
      </c>
      <c r="B77" s="264">
        <v>6863.9999999999964</v>
      </c>
    </row>
    <row r="78" spans="1:2" x14ac:dyDescent="0.25">
      <c r="A78" s="8" t="s">
        <v>6</v>
      </c>
      <c r="B78" s="264">
        <v>13728.000000000004</v>
      </c>
    </row>
    <row r="79" spans="1:2" x14ac:dyDescent="0.25">
      <c r="A79" s="8" t="s">
        <v>232</v>
      </c>
      <c r="B79" s="264">
        <v>0</v>
      </c>
    </row>
    <row r="80" spans="1:2" x14ac:dyDescent="0.25">
      <c r="A80" s="8" t="s">
        <v>233</v>
      </c>
      <c r="B80" s="264">
        <v>18303.999999999989</v>
      </c>
    </row>
    <row r="81" spans="1:6" x14ac:dyDescent="0.25">
      <c r="A81" s="8" t="s">
        <v>234</v>
      </c>
      <c r="B81" s="264">
        <v>12000</v>
      </c>
    </row>
    <row r="82" spans="1:6" x14ac:dyDescent="0.25">
      <c r="A82" s="8" t="s">
        <v>11</v>
      </c>
      <c r="B82" s="264">
        <v>7050.6799999999948</v>
      </c>
    </row>
    <row r="83" spans="1:6" x14ac:dyDescent="0.25">
      <c r="A83" s="8" t="s">
        <v>13</v>
      </c>
      <c r="B83" s="264">
        <v>49999.999999999985</v>
      </c>
    </row>
    <row r="84" spans="1:6" ht="14.4" thickBot="1" x14ac:dyDescent="0.3">
      <c r="A84" s="8" t="s">
        <v>235</v>
      </c>
      <c r="B84" s="264">
        <v>90000</v>
      </c>
    </row>
    <row r="85" spans="1:6" ht="16.2" thickBot="1" x14ac:dyDescent="0.35">
      <c r="A85" s="262" t="s">
        <v>18</v>
      </c>
      <c r="B85" s="265">
        <v>166450</v>
      </c>
    </row>
    <row r="86" spans="1:6" x14ac:dyDescent="0.25">
      <c r="A86" s="305" t="s">
        <v>236</v>
      </c>
      <c r="B86" s="306">
        <v>83000</v>
      </c>
      <c r="E86" s="304" t="s">
        <v>1004</v>
      </c>
      <c r="F86" s="304">
        <v>12100</v>
      </c>
    </row>
    <row r="87" spans="1:6" x14ac:dyDescent="0.25">
      <c r="A87" s="307" t="s">
        <v>237</v>
      </c>
      <c r="B87" s="308">
        <v>31500</v>
      </c>
      <c r="E87" s="304" t="s">
        <v>1005</v>
      </c>
      <c r="F87" s="304">
        <v>20000</v>
      </c>
    </row>
    <row r="88" spans="1:6" ht="14.4" thickBot="1" x14ac:dyDescent="0.3">
      <c r="A88" s="18" t="s">
        <v>238</v>
      </c>
      <c r="B88" s="264">
        <v>51950</v>
      </c>
      <c r="E88" s="304" t="s">
        <v>1006</v>
      </c>
      <c r="F88" s="304">
        <v>18150</v>
      </c>
    </row>
    <row r="89" spans="1:6" ht="14.4" thickBot="1" x14ac:dyDescent="0.3">
      <c r="A89" s="262" t="s">
        <v>29</v>
      </c>
      <c r="B89" s="273">
        <v>0</v>
      </c>
      <c r="E89" s="304" t="s">
        <v>1007</v>
      </c>
      <c r="F89" s="304">
        <v>9680</v>
      </c>
    </row>
    <row r="90" spans="1:6" ht="14.4" thickBot="1" x14ac:dyDescent="0.3">
      <c r="A90" s="19" t="s">
        <v>239</v>
      </c>
      <c r="B90" s="264">
        <v>0</v>
      </c>
      <c r="E90" s="304" t="s">
        <v>1008</v>
      </c>
      <c r="F90" s="304">
        <v>14520</v>
      </c>
    </row>
    <row r="91" spans="1:6" ht="16.2" thickBot="1" x14ac:dyDescent="0.35">
      <c r="A91" s="262" t="s">
        <v>33</v>
      </c>
      <c r="B91" s="263">
        <v>120</v>
      </c>
      <c r="E91" s="309" t="s">
        <v>1009</v>
      </c>
      <c r="F91" s="309">
        <v>7104</v>
      </c>
    </row>
    <row r="92" spans="1:6" x14ac:dyDescent="0.25">
      <c r="A92" s="12" t="s">
        <v>994</v>
      </c>
      <c r="B92" s="264">
        <v>0</v>
      </c>
      <c r="E92" s="309" t="s">
        <v>1010</v>
      </c>
      <c r="F92" s="309">
        <v>20000</v>
      </c>
    </row>
    <row r="93" spans="1:6" ht="14.4" thickBot="1" x14ac:dyDescent="0.3">
      <c r="A93" s="19" t="s">
        <v>37</v>
      </c>
      <c r="B93" s="264">
        <v>120</v>
      </c>
      <c r="E93" s="309" t="s">
        <v>1011</v>
      </c>
      <c r="F93" s="309">
        <v>3500</v>
      </c>
    </row>
    <row r="94" spans="1:6" ht="16.2" thickBot="1" x14ac:dyDescent="0.35">
      <c r="A94" s="262" t="s">
        <v>240</v>
      </c>
      <c r="B94" s="263">
        <v>8000</v>
      </c>
    </row>
    <row r="95" spans="1:6" x14ac:dyDescent="0.25">
      <c r="A95" s="8" t="s">
        <v>241</v>
      </c>
      <c r="B95" s="264">
        <v>8000</v>
      </c>
    </row>
    <row r="96" spans="1:6" ht="14.4" thickBot="1" x14ac:dyDescent="0.3">
      <c r="A96" s="8" t="s">
        <v>242</v>
      </c>
      <c r="B96" s="264">
        <v>0</v>
      </c>
    </row>
    <row r="97" spans="1:3" ht="16.2" thickBot="1" x14ac:dyDescent="0.35">
      <c r="A97" s="262" t="s">
        <v>243</v>
      </c>
      <c r="B97" s="265">
        <v>4684811.1973321838</v>
      </c>
    </row>
    <row r="98" spans="1:3" ht="14.4" thickBot="1" x14ac:dyDescent="0.3">
      <c r="A98" s="274"/>
      <c r="B98" s="275"/>
    </row>
    <row r="99" spans="1:3" ht="16.2" thickBot="1" x14ac:dyDescent="0.35">
      <c r="A99" s="262" t="s">
        <v>244</v>
      </c>
      <c r="B99" s="263">
        <v>319397</v>
      </c>
    </row>
    <row r="100" spans="1:3" ht="18" thickBot="1" x14ac:dyDescent="0.3">
      <c r="A100" s="21" t="s">
        <v>245</v>
      </c>
      <c r="B100" s="46">
        <v>4940505.9231988508</v>
      </c>
    </row>
    <row r="101" spans="1:3" ht="14.4" thickBot="1" x14ac:dyDescent="0.3">
      <c r="B101" s="277"/>
    </row>
    <row r="102" spans="1:3" ht="18" thickBot="1" x14ac:dyDescent="0.35">
      <c r="A102" s="23" t="s">
        <v>246</v>
      </c>
      <c r="B102" s="278">
        <v>4448840</v>
      </c>
    </row>
    <row r="103" spans="1:3" thickBot="1" x14ac:dyDescent="0.3">
      <c r="A103" s="24"/>
      <c r="B103" s="49"/>
    </row>
    <row r="104" spans="1:3" ht="16.2" thickBot="1" x14ac:dyDescent="0.35">
      <c r="A104" s="262" t="s">
        <v>247</v>
      </c>
      <c r="B104" s="265">
        <v>7666.2666666666664</v>
      </c>
    </row>
    <row r="105" spans="1:3" x14ac:dyDescent="0.25">
      <c r="A105" s="8" t="s">
        <v>248</v>
      </c>
      <c r="B105" s="269">
        <v>-1990.3733333333334</v>
      </c>
    </row>
    <row r="106" spans="1:3" ht="14.4" thickBot="1" x14ac:dyDescent="0.3">
      <c r="A106" s="8" t="s">
        <v>249</v>
      </c>
      <c r="B106" s="269">
        <v>-5675.8933333333334</v>
      </c>
    </row>
    <row r="107" spans="1:3" ht="18" thickBot="1" x14ac:dyDescent="0.3">
      <c r="A107" s="25" t="s">
        <v>250</v>
      </c>
      <c r="B107" s="50">
        <v>4456506.2666666666</v>
      </c>
    </row>
    <row r="108" spans="1:3" ht="14.4" thickBot="1" x14ac:dyDescent="0.3">
      <c r="A108" s="279"/>
    </row>
    <row r="109" spans="1:3" ht="21" thickBot="1" x14ac:dyDescent="0.3">
      <c r="A109" s="280" t="s">
        <v>251</v>
      </c>
      <c r="B109" s="281">
        <v>-483999.65653218422</v>
      </c>
    </row>
    <row r="110" spans="1:3" x14ac:dyDescent="0.25">
      <c r="A110" s="8" t="s">
        <v>995</v>
      </c>
      <c r="B110" s="282">
        <v>439040.42212499987</v>
      </c>
    </row>
    <row r="111" spans="1:3" ht="14.4" x14ac:dyDescent="0.3">
      <c r="A111" s="283" t="s">
        <v>1012</v>
      </c>
      <c r="B111" s="284">
        <v>29856.559999999998</v>
      </c>
      <c r="C111" s="286" t="s">
        <v>1014</v>
      </c>
    </row>
    <row r="112" spans="1:3" ht="69.599999999999994" thickBot="1" x14ac:dyDescent="0.3">
      <c r="A112" s="285" t="s">
        <v>1013</v>
      </c>
      <c r="B112" s="286">
        <v>-44959.234407184354</v>
      </c>
      <c r="C112" s="310" t="s">
        <v>1015</v>
      </c>
    </row>
    <row r="113" spans="1:2" ht="14.4" thickBot="1" x14ac:dyDescent="0.3">
      <c r="A113" s="287" t="s">
        <v>996</v>
      </c>
      <c r="B113" s="288">
        <v>45261</v>
      </c>
    </row>
    <row r="114" spans="1:2" x14ac:dyDescent="0.25">
      <c r="A114" s="285"/>
      <c r="B114" s="286"/>
    </row>
    <row r="115" spans="1:2" x14ac:dyDescent="0.25">
      <c r="A115" s="285" t="s">
        <v>997</v>
      </c>
    </row>
    <row r="116" spans="1:2" x14ac:dyDescent="0.25">
      <c r="A116" s="276" t="s">
        <v>404</v>
      </c>
      <c r="B116" s="289" t="s">
        <v>406</v>
      </c>
    </row>
    <row r="117" spans="1:2" x14ac:dyDescent="0.25">
      <c r="A117" s="276" t="s">
        <v>408</v>
      </c>
      <c r="B117" s="290">
        <v>8160</v>
      </c>
    </row>
    <row r="118" spans="1:2" x14ac:dyDescent="0.25">
      <c r="A118" s="276" t="s">
        <v>998</v>
      </c>
      <c r="B118" s="291">
        <v>0.91</v>
      </c>
    </row>
    <row r="119" spans="1:2" x14ac:dyDescent="0.25">
      <c r="A119" s="276" t="s">
        <v>999</v>
      </c>
      <c r="B119" s="292"/>
    </row>
    <row r="120" spans="1:2" x14ac:dyDescent="0.25">
      <c r="B120" s="292"/>
    </row>
    <row r="121" spans="1:2" x14ac:dyDescent="0.25">
      <c r="A121" s="276" t="s">
        <v>1000</v>
      </c>
      <c r="B121" s="292"/>
    </row>
    <row r="122" spans="1:2" x14ac:dyDescent="0.25">
      <c r="A122" s="276" t="s">
        <v>409</v>
      </c>
      <c r="B122" s="293" t="s">
        <v>406</v>
      </c>
    </row>
    <row r="123" spans="1:2" x14ac:dyDescent="0.25">
      <c r="A123" s="276" t="s">
        <v>408</v>
      </c>
      <c r="B123" s="290">
        <v>6040</v>
      </c>
    </row>
    <row r="124" spans="1:2" x14ac:dyDescent="0.25">
      <c r="A124" s="276" t="s">
        <v>998</v>
      </c>
      <c r="B124" s="294"/>
    </row>
    <row r="125" spans="1:2" x14ac:dyDescent="0.25">
      <c r="A125" s="276" t="s">
        <v>999</v>
      </c>
      <c r="B125" s="29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A131-257C-4977-9E9B-7AB4BE3B8539}">
  <sheetPr>
    <tabColor theme="1"/>
  </sheetPr>
  <dimension ref="A1:F70"/>
  <sheetViews>
    <sheetView workbookViewId="0"/>
  </sheetViews>
  <sheetFormatPr baseColWidth="10" defaultColWidth="8.77734375" defaultRowHeight="13.2" x14ac:dyDescent="0.25"/>
  <cols>
    <col min="1" max="1" width="36.77734375" style="157" bestFit="1" customWidth="1"/>
    <col min="2" max="2" width="28.6640625" style="157" bestFit="1" customWidth="1"/>
    <col min="3" max="3" width="11.44140625" style="157" bestFit="1" customWidth="1"/>
    <col min="4" max="4" width="10.77734375" style="157" bestFit="1" customWidth="1"/>
    <col min="5" max="5" width="19.109375" style="157" bestFit="1" customWidth="1"/>
    <col min="6" max="6" width="24.44140625" style="157" bestFit="1" customWidth="1"/>
    <col min="7" max="16384" width="8.77734375" style="157"/>
  </cols>
  <sheetData>
    <row r="1" spans="1:6" x14ac:dyDescent="0.25">
      <c r="B1" s="157">
        <v>2024</v>
      </c>
    </row>
    <row r="2" spans="1:6" x14ac:dyDescent="0.25">
      <c r="A2" s="4" t="s">
        <v>20</v>
      </c>
      <c r="B2" s="169" t="s">
        <v>931</v>
      </c>
      <c r="C2" s="169" t="s">
        <v>932</v>
      </c>
      <c r="D2" s="169" t="s">
        <v>933</v>
      </c>
      <c r="E2" s="169" t="s">
        <v>934</v>
      </c>
      <c r="F2" s="169" t="s">
        <v>935</v>
      </c>
    </row>
    <row r="3" spans="1:6" x14ac:dyDescent="0.25">
      <c r="A3" s="157" t="s">
        <v>930</v>
      </c>
      <c r="B3" s="245">
        <v>2376.19</v>
      </c>
      <c r="C3" s="247">
        <v>12</v>
      </c>
      <c r="D3" s="245">
        <f>B3*C3</f>
        <v>28514.28</v>
      </c>
      <c r="E3" s="170">
        <v>0</v>
      </c>
      <c r="F3" s="157" t="s">
        <v>936</v>
      </c>
    </row>
    <row r="4" spans="1:6" x14ac:dyDescent="0.25">
      <c r="A4" s="157" t="s">
        <v>929</v>
      </c>
      <c r="B4" s="245">
        <v>308.83</v>
      </c>
      <c r="C4" s="247">
        <v>12</v>
      </c>
      <c r="D4" s="245">
        <f>B4*C4</f>
        <v>3705.96</v>
      </c>
      <c r="E4" s="170">
        <v>0</v>
      </c>
      <c r="F4" s="157" t="s">
        <v>937</v>
      </c>
    </row>
    <row r="5" spans="1:6" x14ac:dyDescent="0.25">
      <c r="A5" s="157" t="s">
        <v>928</v>
      </c>
      <c r="B5" s="245">
        <v>445</v>
      </c>
      <c r="C5" s="247">
        <v>12</v>
      </c>
      <c r="D5" s="245">
        <f>B5*C5</f>
        <v>5340</v>
      </c>
      <c r="E5" s="170">
        <v>0</v>
      </c>
    </row>
    <row r="6" spans="1:6" x14ac:dyDescent="0.25">
      <c r="D6" s="246">
        <f>SUM(D3:D5)</f>
        <v>37560.239999999998</v>
      </c>
    </row>
    <row r="8" spans="1:6" x14ac:dyDescent="0.25">
      <c r="A8" s="4" t="s">
        <v>60</v>
      </c>
      <c r="B8" s="169" t="s">
        <v>931</v>
      </c>
      <c r="C8" s="169" t="s">
        <v>932</v>
      </c>
      <c r="D8" s="169" t="s">
        <v>933</v>
      </c>
    </row>
    <row r="9" spans="1:6" x14ac:dyDescent="0.25">
      <c r="A9" s="157" t="s">
        <v>940</v>
      </c>
      <c r="B9" s="157">
        <v>118.5</v>
      </c>
      <c r="C9" s="157">
        <v>12</v>
      </c>
      <c r="D9" s="245">
        <f>B9*C9</f>
        <v>1422</v>
      </c>
    </row>
    <row r="10" spans="1:6" x14ac:dyDescent="0.25">
      <c r="A10" s="157" t="s">
        <v>941</v>
      </c>
      <c r="B10" s="157">
        <v>902.02</v>
      </c>
      <c r="C10" s="157">
        <v>1</v>
      </c>
      <c r="D10" s="245">
        <f>B10*C10</f>
        <v>902.02</v>
      </c>
    </row>
    <row r="11" spans="1:6" x14ac:dyDescent="0.25">
      <c r="D11" s="248">
        <f>SUM(D9:D10)</f>
        <v>2324.02</v>
      </c>
    </row>
    <row r="13" spans="1:6" x14ac:dyDescent="0.25">
      <c r="A13" s="4" t="s">
        <v>942</v>
      </c>
      <c r="B13" s="169" t="s">
        <v>931</v>
      </c>
      <c r="C13" s="169" t="s">
        <v>932</v>
      </c>
      <c r="D13" s="169" t="s">
        <v>933</v>
      </c>
    </row>
    <row r="14" spans="1:6" x14ac:dyDescent="0.25">
      <c r="A14" s="157" t="s">
        <v>943</v>
      </c>
      <c r="B14" s="157">
        <v>31.46</v>
      </c>
      <c r="C14" s="157">
        <v>12</v>
      </c>
      <c r="D14" s="245">
        <f>B14*C14</f>
        <v>377.52</v>
      </c>
    </row>
    <row r="15" spans="1:6" x14ac:dyDescent="0.25">
      <c r="A15" s="157" t="s">
        <v>944</v>
      </c>
      <c r="B15" s="157">
        <v>83</v>
      </c>
      <c r="C15" s="157">
        <v>12</v>
      </c>
      <c r="D15" s="245">
        <f>B15*C15</f>
        <v>996</v>
      </c>
    </row>
    <row r="16" spans="1:6" x14ac:dyDescent="0.25">
      <c r="D16" s="248">
        <f>SUM(D14:D15)</f>
        <v>1373.52</v>
      </c>
    </row>
    <row r="18" spans="1:6" x14ac:dyDescent="0.25">
      <c r="A18" s="4" t="s">
        <v>945</v>
      </c>
      <c r="B18" s="169" t="s">
        <v>931</v>
      </c>
      <c r="C18" s="169" t="s">
        <v>932</v>
      </c>
      <c r="D18" s="169" t="s">
        <v>933</v>
      </c>
    </row>
    <row r="19" spans="1:6" x14ac:dyDescent="0.25">
      <c r="A19" s="157" t="s">
        <v>946</v>
      </c>
      <c r="B19" s="157">
        <v>27315</v>
      </c>
      <c r="C19" s="157">
        <v>1</v>
      </c>
      <c r="D19" s="245">
        <f>B19*C19</f>
        <v>27315</v>
      </c>
    </row>
    <row r="20" spans="1:6" x14ac:dyDescent="0.25">
      <c r="A20" s="157" t="s">
        <v>947</v>
      </c>
      <c r="B20" s="157">
        <v>2242.13</v>
      </c>
      <c r="C20" s="157">
        <v>1</v>
      </c>
      <c r="D20" s="245">
        <f>B20*C20</f>
        <v>2242.13</v>
      </c>
    </row>
    <row r="21" spans="1:6" x14ac:dyDescent="0.25">
      <c r="D21" s="248">
        <f>SUM(D19:D20)</f>
        <v>29557.13</v>
      </c>
    </row>
    <row r="22" spans="1:6" x14ac:dyDescent="0.25">
      <c r="A22" s="157" t="s">
        <v>948</v>
      </c>
      <c r="B22" s="157">
        <v>612.89</v>
      </c>
      <c r="C22" s="157">
        <v>1</v>
      </c>
      <c r="D22" s="245">
        <f>((B22*C22)*F23)/F22</f>
        <v>663.00050314465409</v>
      </c>
      <c r="E22" s="157" t="s">
        <v>950</v>
      </c>
      <c r="F22" s="157">
        <v>954</v>
      </c>
    </row>
    <row r="23" spans="1:6" x14ac:dyDescent="0.25">
      <c r="E23" s="157" t="s">
        <v>949</v>
      </c>
      <c r="F23" s="157">
        <v>1032</v>
      </c>
    </row>
    <row r="24" spans="1:6" x14ac:dyDescent="0.25">
      <c r="A24" s="157" t="s">
        <v>956</v>
      </c>
      <c r="B24" s="157">
        <v>65.56</v>
      </c>
      <c r="C24" s="157">
        <v>1</v>
      </c>
      <c r="D24" s="245">
        <f>((B24*C24)*F23)/F22</f>
        <v>70.920251572327047</v>
      </c>
    </row>
    <row r="25" spans="1:6" x14ac:dyDescent="0.25">
      <c r="A25" s="157" t="s">
        <v>957</v>
      </c>
      <c r="B25" s="157">
        <v>379.67</v>
      </c>
      <c r="C25" s="157">
        <v>1</v>
      </c>
      <c r="D25" s="245">
        <f>((B25*C25)*F23)/F22</f>
        <v>410.71220125786164</v>
      </c>
      <c r="F25" s="169" t="s">
        <v>958</v>
      </c>
    </row>
    <row r="26" spans="1:6" x14ac:dyDescent="0.25">
      <c r="D26" s="250"/>
    </row>
    <row r="29" spans="1:6" x14ac:dyDescent="0.25">
      <c r="A29" s="4" t="s">
        <v>960</v>
      </c>
    </row>
    <row r="30" spans="1:6" x14ac:dyDescent="0.25">
      <c r="A30" s="157" t="s">
        <v>961</v>
      </c>
      <c r="B30" s="157">
        <v>617.1</v>
      </c>
      <c r="C30" s="157">
        <v>12</v>
      </c>
      <c r="D30" s="157">
        <f t="shared" ref="D30:D37" si="0">B30*C30</f>
        <v>7405.2000000000007</v>
      </c>
    </row>
    <row r="31" spans="1:6" x14ac:dyDescent="0.25">
      <c r="A31" s="157" t="s">
        <v>657</v>
      </c>
      <c r="B31" s="157">
        <v>89.54</v>
      </c>
      <c r="C31" s="157">
        <v>12</v>
      </c>
      <c r="D31" s="157">
        <f t="shared" si="0"/>
        <v>1074.48</v>
      </c>
    </row>
    <row r="32" spans="1:6" x14ac:dyDescent="0.25">
      <c r="A32" s="157" t="s">
        <v>959</v>
      </c>
      <c r="B32" s="157">
        <v>428.1</v>
      </c>
      <c r="C32" s="157">
        <v>1</v>
      </c>
      <c r="D32" s="157">
        <f t="shared" si="0"/>
        <v>428.1</v>
      </c>
    </row>
    <row r="33" spans="1:4" x14ac:dyDescent="0.25">
      <c r="A33" s="157" t="s">
        <v>983</v>
      </c>
      <c r="B33" s="157">
        <v>598.95000000000005</v>
      </c>
      <c r="C33" s="157">
        <v>4</v>
      </c>
      <c r="D33" s="157">
        <f t="shared" si="0"/>
        <v>2395.8000000000002</v>
      </c>
    </row>
    <row r="34" spans="1:4" x14ac:dyDescent="0.25">
      <c r="A34" s="157" t="s">
        <v>963</v>
      </c>
      <c r="B34" s="157">
        <v>1813.5800000000002</v>
      </c>
      <c r="C34" s="157">
        <v>1</v>
      </c>
      <c r="D34" s="157">
        <f t="shared" si="0"/>
        <v>1813.5800000000002</v>
      </c>
    </row>
    <row r="35" spans="1:4" x14ac:dyDescent="0.25">
      <c r="A35" s="157" t="s">
        <v>964</v>
      </c>
      <c r="B35" s="157">
        <v>90.75</v>
      </c>
      <c r="C35" s="157">
        <v>1</v>
      </c>
      <c r="D35" s="157">
        <f t="shared" si="0"/>
        <v>90.75</v>
      </c>
    </row>
    <row r="36" spans="1:4" x14ac:dyDescent="0.25">
      <c r="A36" s="157" t="s">
        <v>965</v>
      </c>
      <c r="B36" s="157">
        <v>1016.25</v>
      </c>
      <c r="C36" s="157">
        <v>1</v>
      </c>
      <c r="D36" s="157">
        <f t="shared" si="0"/>
        <v>1016.25</v>
      </c>
    </row>
    <row r="37" spans="1:4" x14ac:dyDescent="0.25">
      <c r="A37" s="157" t="s">
        <v>966</v>
      </c>
      <c r="B37" s="157">
        <v>326.7</v>
      </c>
      <c r="C37" s="157">
        <v>1</v>
      </c>
      <c r="D37" s="157">
        <f t="shared" si="0"/>
        <v>326.7</v>
      </c>
    </row>
    <row r="38" spans="1:4" x14ac:dyDescent="0.25">
      <c r="D38" s="169">
        <f>SUM(D30:D37)</f>
        <v>14550.860000000002</v>
      </c>
    </row>
    <row r="42" spans="1:4" x14ac:dyDescent="0.25">
      <c r="A42" s="4" t="s">
        <v>962</v>
      </c>
    </row>
    <row r="45" spans="1:4" x14ac:dyDescent="0.25">
      <c r="A45" s="4" t="s">
        <v>18</v>
      </c>
    </row>
    <row r="46" spans="1:4" x14ac:dyDescent="0.25">
      <c r="A46" s="157" t="s">
        <v>967</v>
      </c>
      <c r="B46" s="157" t="s">
        <v>968</v>
      </c>
      <c r="C46" s="157">
        <v>28000</v>
      </c>
      <c r="D46" s="157" t="s">
        <v>984</v>
      </c>
    </row>
    <row r="47" spans="1:4" x14ac:dyDescent="0.25">
      <c r="A47" s="157" t="s">
        <v>969</v>
      </c>
      <c r="B47" s="157" t="s">
        <v>968</v>
      </c>
      <c r="C47" s="157">
        <v>5000</v>
      </c>
      <c r="D47" s="157" t="s">
        <v>970</v>
      </c>
    </row>
    <row r="48" spans="1:4" x14ac:dyDescent="0.25">
      <c r="C48" s="169">
        <v>33000</v>
      </c>
    </row>
    <row r="50" spans="1:6" x14ac:dyDescent="0.25">
      <c r="A50" s="4" t="s">
        <v>103</v>
      </c>
    </row>
    <row r="51" spans="1:6" x14ac:dyDescent="0.25">
      <c r="A51" s="169" t="s">
        <v>985</v>
      </c>
    </row>
    <row r="52" spans="1:6" x14ac:dyDescent="0.25">
      <c r="A52" s="251" t="s">
        <v>971</v>
      </c>
      <c r="B52" s="252" t="s">
        <v>972</v>
      </c>
      <c r="C52" s="252" t="s">
        <v>973</v>
      </c>
      <c r="D52" s="252" t="s">
        <v>974</v>
      </c>
      <c r="E52" s="252" t="s">
        <v>975</v>
      </c>
      <c r="F52" s="253" t="s">
        <v>976</v>
      </c>
    </row>
    <row r="53" spans="1:6" x14ac:dyDescent="0.25">
      <c r="A53" s="254" t="s">
        <v>977</v>
      </c>
      <c r="B53" s="256">
        <v>51540.6</v>
      </c>
      <c r="C53" s="256">
        <v>0</v>
      </c>
      <c r="D53" s="256">
        <v>703.68</v>
      </c>
      <c r="E53" s="256">
        <v>1306.8800000000001</v>
      </c>
      <c r="F53" s="257">
        <v>53551.16</v>
      </c>
    </row>
    <row r="54" spans="1:6" x14ac:dyDescent="0.25">
      <c r="A54" s="254" t="s">
        <v>978</v>
      </c>
      <c r="B54" s="256">
        <v>3416.4</v>
      </c>
      <c r="C54" s="256">
        <v>0</v>
      </c>
      <c r="D54" s="256">
        <v>247.63</v>
      </c>
      <c r="E54" s="256">
        <v>441.2</v>
      </c>
      <c r="F54" s="257">
        <v>4105.2299999999996</v>
      </c>
    </row>
    <row r="55" spans="1:6" ht="20.399999999999999" x14ac:dyDescent="0.25">
      <c r="A55" s="254" t="s">
        <v>979</v>
      </c>
      <c r="B55" s="256">
        <v>1395</v>
      </c>
      <c r="C55" s="256">
        <v>0</v>
      </c>
      <c r="D55" s="256">
        <v>584.84</v>
      </c>
      <c r="E55" s="256">
        <v>1020.86</v>
      </c>
      <c r="F55" s="257">
        <v>3000.7</v>
      </c>
    </row>
    <row r="56" spans="1:6" ht="20.399999999999999" x14ac:dyDescent="0.25">
      <c r="A56" s="254" t="s">
        <v>980</v>
      </c>
      <c r="B56" s="256">
        <v>315</v>
      </c>
      <c r="C56" s="256">
        <v>0</v>
      </c>
      <c r="D56" s="256">
        <v>164.15</v>
      </c>
      <c r="E56" s="256">
        <v>292.95999999999998</v>
      </c>
      <c r="F56" s="257">
        <v>772.11</v>
      </c>
    </row>
    <row r="57" spans="1:6" ht="20.399999999999999" x14ac:dyDescent="0.25">
      <c r="A57" s="254" t="s">
        <v>981</v>
      </c>
      <c r="B57" s="256">
        <v>806.17</v>
      </c>
      <c r="C57" s="256">
        <v>0</v>
      </c>
      <c r="D57" s="256">
        <v>0</v>
      </c>
      <c r="E57" s="256">
        <v>0</v>
      </c>
      <c r="F57" s="257">
        <v>806.17</v>
      </c>
    </row>
    <row r="58" spans="1:6" x14ac:dyDescent="0.25">
      <c r="A58" s="255" t="s">
        <v>982</v>
      </c>
      <c r="B58" s="258">
        <v>57473.17</v>
      </c>
      <c r="C58" s="258">
        <v>0</v>
      </c>
      <c r="D58" s="258">
        <v>1700.3</v>
      </c>
      <c r="E58" s="258">
        <v>3061.9</v>
      </c>
      <c r="F58" s="259">
        <v>62235.37</v>
      </c>
    </row>
    <row r="60" spans="1:6" x14ac:dyDescent="0.25">
      <c r="A60" s="169" t="s">
        <v>986</v>
      </c>
    </row>
    <row r="61" spans="1:6" x14ac:dyDescent="0.25">
      <c r="A61" s="251" t="s">
        <v>971</v>
      </c>
      <c r="B61" s="252" t="s">
        <v>972</v>
      </c>
      <c r="C61" s="252" t="s">
        <v>973</v>
      </c>
      <c r="D61" s="252" t="s">
        <v>974</v>
      </c>
      <c r="E61" s="252" t="s">
        <v>975</v>
      </c>
      <c r="F61" s="253" t="s">
        <v>976</v>
      </c>
    </row>
    <row r="62" spans="1:6" x14ac:dyDescent="0.25">
      <c r="A62" s="254" t="s">
        <v>977</v>
      </c>
      <c r="B62" s="260">
        <f>(B53/11)*12</f>
        <v>56226.109090909085</v>
      </c>
      <c r="C62" s="260">
        <f t="shared" ref="C62:F62" si="1">(C53/11)*12</f>
        <v>0</v>
      </c>
      <c r="D62" s="260">
        <f t="shared" si="1"/>
        <v>767.65090909090907</v>
      </c>
      <c r="E62" s="260">
        <f t="shared" si="1"/>
        <v>1425.6872727272728</v>
      </c>
      <c r="F62" s="260">
        <f t="shared" si="1"/>
        <v>58419.447272727281</v>
      </c>
    </row>
    <row r="63" spans="1:6" x14ac:dyDescent="0.25">
      <c r="A63" s="254" t="s">
        <v>978</v>
      </c>
      <c r="B63" s="260">
        <f t="shared" ref="B63:F66" si="2">(B54/11)*12</f>
        <v>3726.9818181818182</v>
      </c>
      <c r="C63" s="260">
        <f t="shared" si="2"/>
        <v>0</v>
      </c>
      <c r="D63" s="260">
        <f t="shared" si="2"/>
        <v>270.14181818181817</v>
      </c>
      <c r="E63" s="260">
        <f t="shared" si="2"/>
        <v>481.30909090909091</v>
      </c>
      <c r="F63" s="260">
        <f t="shared" si="2"/>
        <v>4478.4327272727269</v>
      </c>
    </row>
    <row r="64" spans="1:6" ht="20.399999999999999" x14ac:dyDescent="0.25">
      <c r="A64" s="254" t="s">
        <v>979</v>
      </c>
      <c r="B64" s="260">
        <f t="shared" si="2"/>
        <v>1521.8181818181818</v>
      </c>
      <c r="C64" s="260">
        <f t="shared" si="2"/>
        <v>0</v>
      </c>
      <c r="D64" s="260">
        <f t="shared" si="2"/>
        <v>638.00727272727272</v>
      </c>
      <c r="E64" s="260">
        <f t="shared" si="2"/>
        <v>1113.6654545454546</v>
      </c>
      <c r="F64" s="260">
        <f t="shared" si="2"/>
        <v>3273.4909090909086</v>
      </c>
    </row>
    <row r="65" spans="1:6" ht="20.399999999999999" x14ac:dyDescent="0.25">
      <c r="A65" s="254" t="s">
        <v>980</v>
      </c>
      <c r="B65" s="260">
        <f t="shared" si="2"/>
        <v>343.63636363636363</v>
      </c>
      <c r="C65" s="260">
        <f t="shared" si="2"/>
        <v>0</v>
      </c>
      <c r="D65" s="260">
        <f t="shared" si="2"/>
        <v>179.07272727272729</v>
      </c>
      <c r="E65" s="260">
        <f t="shared" si="2"/>
        <v>319.59272727272725</v>
      </c>
      <c r="F65" s="260">
        <f t="shared" si="2"/>
        <v>842.30181818181813</v>
      </c>
    </row>
    <row r="66" spans="1:6" ht="20.399999999999999" x14ac:dyDescent="0.25">
      <c r="A66" s="254" t="s">
        <v>981</v>
      </c>
      <c r="B66" s="260">
        <f t="shared" si="2"/>
        <v>879.45818181818174</v>
      </c>
      <c r="C66" s="260">
        <f t="shared" si="2"/>
        <v>0</v>
      </c>
      <c r="D66" s="260">
        <f t="shared" si="2"/>
        <v>0</v>
      </c>
      <c r="E66" s="260">
        <f t="shared" si="2"/>
        <v>0</v>
      </c>
      <c r="F66" s="260">
        <f t="shared" si="2"/>
        <v>879.45818181818174</v>
      </c>
    </row>
    <row r="67" spans="1:6" x14ac:dyDescent="0.25">
      <c r="B67" s="260">
        <f t="shared" ref="B67:E67" si="3">SUM(B62:B66)</f>
        <v>62698.003636363632</v>
      </c>
      <c r="C67" s="260">
        <f t="shared" si="3"/>
        <v>0</v>
      </c>
      <c r="D67" s="260">
        <f t="shared" si="3"/>
        <v>1854.8727272727272</v>
      </c>
      <c r="E67" s="260">
        <f t="shared" si="3"/>
        <v>3340.2545454545457</v>
      </c>
      <c r="F67" s="260">
        <f>SUM(F62:F66)</f>
        <v>67893.130909090905</v>
      </c>
    </row>
    <row r="69" spans="1:6" x14ac:dyDescent="0.25">
      <c r="A69" s="157" t="s">
        <v>987</v>
      </c>
      <c r="B69" s="260">
        <f>SUM(B62:B63)</f>
        <v>59953.090909090904</v>
      </c>
      <c r="C69" s="260">
        <f t="shared" ref="C69:F69" si="4">SUM(C62:C63)</f>
        <v>0</v>
      </c>
      <c r="D69" s="260">
        <f t="shared" si="4"/>
        <v>1037.7927272727272</v>
      </c>
      <c r="E69" s="260">
        <f t="shared" si="4"/>
        <v>1906.9963636363636</v>
      </c>
      <c r="F69" s="260">
        <f t="shared" si="4"/>
        <v>62897.880000000005</v>
      </c>
    </row>
    <row r="70" spans="1:6" x14ac:dyDescent="0.25">
      <c r="A70" s="157" t="s">
        <v>988</v>
      </c>
      <c r="B70" s="260">
        <f>SUM(B64:B66)</f>
        <v>2744.9127272727274</v>
      </c>
      <c r="C70" s="260">
        <f t="shared" ref="C70:F70" si="5">SUM(C64:C66)</f>
        <v>0</v>
      </c>
      <c r="D70" s="260">
        <f t="shared" si="5"/>
        <v>817.08</v>
      </c>
      <c r="E70" s="260">
        <f t="shared" si="5"/>
        <v>1433.2581818181818</v>
      </c>
      <c r="F70" s="260">
        <f t="shared" si="5"/>
        <v>4995.250909090908</v>
      </c>
    </row>
  </sheetData>
  <phoneticPr fontId="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B6E5-5C61-4B96-8514-3669AF9F0924}">
  <dimension ref="A1:F15"/>
  <sheetViews>
    <sheetView workbookViewId="0"/>
  </sheetViews>
  <sheetFormatPr baseColWidth="10" defaultColWidth="9.33203125" defaultRowHeight="13.2" x14ac:dyDescent="0.25"/>
  <cols>
    <col min="1" max="1" width="29.77734375" bestFit="1" customWidth="1"/>
    <col min="2" max="2" width="55" bestFit="1" customWidth="1"/>
    <col min="3" max="3" width="7.6640625" bestFit="1" customWidth="1"/>
  </cols>
  <sheetData>
    <row r="1" spans="1:6" x14ac:dyDescent="0.25">
      <c r="A1" s="163"/>
      <c r="B1" s="158"/>
      <c r="C1" s="53"/>
      <c r="D1" s="1"/>
      <c r="E1" s="1"/>
      <c r="F1" s="1"/>
    </row>
    <row r="2" spans="1:6" ht="30.6" x14ac:dyDescent="0.25">
      <c r="A2" s="155" t="s">
        <v>413</v>
      </c>
      <c r="B2" s="155" t="s">
        <v>414</v>
      </c>
      <c r="C2" s="153" t="s">
        <v>403</v>
      </c>
      <c r="D2" s="3" t="s">
        <v>179</v>
      </c>
      <c r="E2" s="2" t="s">
        <v>180</v>
      </c>
      <c r="F2" s="154" t="s">
        <v>181</v>
      </c>
    </row>
    <row r="3" spans="1:6" x14ac:dyDescent="0.25">
      <c r="A3" s="158" t="s">
        <v>419</v>
      </c>
      <c r="B3" s="158" t="s">
        <v>415</v>
      </c>
      <c r="C3" s="159">
        <v>60000</v>
      </c>
      <c r="D3" s="160">
        <v>60000</v>
      </c>
      <c r="E3" s="160">
        <v>0</v>
      </c>
      <c r="F3" s="161">
        <v>0</v>
      </c>
    </row>
    <row r="4" spans="1:6" x14ac:dyDescent="0.25">
      <c r="A4" s="158" t="s">
        <v>420</v>
      </c>
      <c r="B4" s="158" t="s">
        <v>416</v>
      </c>
      <c r="C4" s="159">
        <f>SUM(D4:F4)</f>
        <v>252500</v>
      </c>
      <c r="D4" s="162">
        <v>100000</v>
      </c>
      <c r="E4" s="160">
        <v>100000</v>
      </c>
      <c r="F4" s="161">
        <v>52500</v>
      </c>
    </row>
    <row r="5" spans="1:6" x14ac:dyDescent="0.25">
      <c r="A5" s="158" t="s">
        <v>421</v>
      </c>
      <c r="B5" s="158" t="s">
        <v>417</v>
      </c>
      <c r="C5" s="159">
        <v>212000</v>
      </c>
      <c r="D5" s="160">
        <v>5000</v>
      </c>
      <c r="E5" s="160">
        <v>0</v>
      </c>
      <c r="F5" s="161">
        <v>207000</v>
      </c>
    </row>
    <row r="6" spans="1:6" x14ac:dyDescent="0.25">
      <c r="A6" s="158" t="s">
        <v>422</v>
      </c>
      <c r="B6" s="158" t="s">
        <v>418</v>
      </c>
      <c r="C6" s="159">
        <v>52500</v>
      </c>
      <c r="D6" s="160">
        <v>0</v>
      </c>
      <c r="E6" s="160">
        <v>12500</v>
      </c>
      <c r="F6" s="161">
        <v>40000</v>
      </c>
    </row>
    <row r="7" spans="1:6" x14ac:dyDescent="0.25">
      <c r="A7" s="157" t="s">
        <v>19</v>
      </c>
      <c r="B7" s="157" t="s">
        <v>20</v>
      </c>
      <c r="C7" s="159">
        <v>50000</v>
      </c>
      <c r="D7" s="160">
        <v>50000</v>
      </c>
      <c r="E7" s="160">
        <v>0</v>
      </c>
      <c r="F7" s="161">
        <v>0</v>
      </c>
    </row>
    <row r="8" spans="1:6" x14ac:dyDescent="0.25">
      <c r="A8" s="155" t="s">
        <v>361</v>
      </c>
      <c r="B8" s="155" t="s">
        <v>410</v>
      </c>
      <c r="C8" s="156">
        <f>SUM(C3:C7)</f>
        <v>627000</v>
      </c>
      <c r="D8" s="156">
        <f t="shared" ref="D8:F8" si="0">SUM(D3:D7)</f>
        <v>215000</v>
      </c>
      <c r="E8" s="156">
        <f t="shared" si="0"/>
        <v>112500</v>
      </c>
      <c r="F8" s="156">
        <f t="shared" si="0"/>
        <v>299500</v>
      </c>
    </row>
    <row r="10" spans="1:6" x14ac:dyDescent="0.25">
      <c r="A10" s="182" t="s">
        <v>951</v>
      </c>
      <c r="D10" s="249">
        <f>SUM(D3,D5:D7)</f>
        <v>115000</v>
      </c>
    </row>
    <row r="11" spans="1:6" x14ac:dyDescent="0.25">
      <c r="A11" s="182" t="s">
        <v>952</v>
      </c>
      <c r="D11">
        <v>33000</v>
      </c>
    </row>
    <row r="12" spans="1:6" x14ac:dyDescent="0.25">
      <c r="A12" s="182" t="s">
        <v>953</v>
      </c>
      <c r="D12" s="249">
        <f>D10-D11</f>
        <v>82000</v>
      </c>
    </row>
    <row r="14" spans="1:6" x14ac:dyDescent="0.25">
      <c r="A14" s="182" t="s">
        <v>954</v>
      </c>
      <c r="D14" s="249">
        <f>'Tableau principal - Hoofdtabel'!K156-'eenmalige kosten-frais uniques'!D12</f>
        <v>582390.05000000005</v>
      </c>
    </row>
    <row r="15" spans="1:6" x14ac:dyDescent="0.25">
      <c r="A15" s="182" t="s">
        <v>955</v>
      </c>
      <c r="D15">
        <f>D14*58%</f>
        <v>337786.22899999999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6134B-99B8-4968-A35A-F89A63CF4871}">
  <sheetPr>
    <tabColor theme="1"/>
  </sheetPr>
  <dimension ref="A1:F11"/>
  <sheetViews>
    <sheetView workbookViewId="0"/>
  </sheetViews>
  <sheetFormatPr baseColWidth="10" defaultColWidth="9.33203125" defaultRowHeight="13.2" x14ac:dyDescent="0.25"/>
  <cols>
    <col min="1" max="1" width="29.77734375" bestFit="1" customWidth="1"/>
    <col min="2" max="2" width="55" bestFit="1" customWidth="1"/>
    <col min="3" max="3" width="7.6640625" bestFit="1" customWidth="1"/>
  </cols>
  <sheetData>
    <row r="1" spans="1:6" x14ac:dyDescent="0.25">
      <c r="A1" s="163"/>
      <c r="B1" s="158"/>
      <c r="C1" s="517">
        <v>2024</v>
      </c>
      <c r="D1" s="517"/>
      <c r="E1" s="517"/>
      <c r="F1" s="517"/>
    </row>
    <row r="2" spans="1:6" ht="30.6" x14ac:dyDescent="0.25">
      <c r="A2" s="155" t="s">
        <v>413</v>
      </c>
      <c r="B2" s="155" t="s">
        <v>1003</v>
      </c>
      <c r="C2" s="299" t="s">
        <v>403</v>
      </c>
      <c r="D2" s="300" t="s">
        <v>179</v>
      </c>
      <c r="E2" s="301" t="s">
        <v>180</v>
      </c>
      <c r="F2" s="302" t="s">
        <v>181</v>
      </c>
    </row>
    <row r="3" spans="1:6" x14ac:dyDescent="0.25">
      <c r="A3" s="5" t="s">
        <v>422</v>
      </c>
      <c r="B3" s="298" t="s">
        <v>418</v>
      </c>
      <c r="C3" s="303">
        <f>SUM(D3:F3)</f>
        <v>51950</v>
      </c>
      <c r="D3" s="303"/>
      <c r="E3" s="303"/>
      <c r="F3" s="303">
        <f>'Tableau principal - Hoofdtabel'!Q139</f>
        <v>51950</v>
      </c>
    </row>
    <row r="4" spans="1:6" x14ac:dyDescent="0.25">
      <c r="A4" s="5" t="s">
        <v>19</v>
      </c>
      <c r="B4" s="298" t="s">
        <v>20</v>
      </c>
      <c r="C4" s="303">
        <f>SUM(D4:F4)</f>
        <v>33000</v>
      </c>
      <c r="D4" s="303">
        <v>33000</v>
      </c>
      <c r="E4" s="303"/>
      <c r="F4" s="303"/>
    </row>
    <row r="5" spans="1:6" x14ac:dyDescent="0.25">
      <c r="A5" s="5" t="s">
        <v>154</v>
      </c>
      <c r="B5" s="298" t="s">
        <v>155</v>
      </c>
      <c r="C5" s="303">
        <f>SUM(D5:F5)</f>
        <v>113017.17037499989</v>
      </c>
      <c r="D5" s="303"/>
      <c r="E5" s="303"/>
      <c r="F5" s="303">
        <f>'Tableau principal - Hoofdtabel'!Q92</f>
        <v>113017.17037499989</v>
      </c>
    </row>
    <row r="6" spans="1:6" x14ac:dyDescent="0.25">
      <c r="A6" s="5" t="s">
        <v>151</v>
      </c>
      <c r="B6" s="298" t="s">
        <v>152</v>
      </c>
      <c r="C6" s="303">
        <f t="shared" ref="C6:C9" si="0">SUM(D6:F6)</f>
        <v>23819.25175000001</v>
      </c>
      <c r="D6" s="303"/>
      <c r="E6" s="303"/>
      <c r="F6" s="303">
        <f>'Tableau principal - Hoofdtabel'!Q90</f>
        <v>23819.25175000001</v>
      </c>
    </row>
    <row r="7" spans="1:6" x14ac:dyDescent="0.25">
      <c r="A7" s="297" t="s">
        <v>93</v>
      </c>
      <c r="B7" s="297" t="s">
        <v>94</v>
      </c>
      <c r="C7" s="303">
        <f t="shared" si="0"/>
        <v>44000</v>
      </c>
      <c r="D7" s="303"/>
      <c r="E7" s="303"/>
      <c r="F7" s="303">
        <v>44000</v>
      </c>
    </row>
    <row r="8" spans="1:6" x14ac:dyDescent="0.25">
      <c r="A8" s="5" t="s">
        <v>25</v>
      </c>
      <c r="B8" s="298" t="s">
        <v>26</v>
      </c>
      <c r="C8" s="303">
        <f t="shared" si="0"/>
        <v>51950</v>
      </c>
      <c r="D8" s="303"/>
      <c r="E8" s="303"/>
      <c r="F8" s="303">
        <f>'Tableau principal - Hoofdtabel'!Q139</f>
        <v>51950</v>
      </c>
    </row>
    <row r="9" spans="1:6" x14ac:dyDescent="0.25">
      <c r="A9" s="5" t="s">
        <v>23</v>
      </c>
      <c r="B9" s="298" t="s">
        <v>24</v>
      </c>
      <c r="C9" s="303">
        <f t="shared" si="0"/>
        <v>101554</v>
      </c>
      <c r="D9" s="303"/>
      <c r="E9" s="303"/>
      <c r="F9" s="303">
        <v>101554</v>
      </c>
    </row>
    <row r="10" spans="1:6" x14ac:dyDescent="0.25">
      <c r="A10" s="297"/>
      <c r="B10" s="297"/>
      <c r="C10" s="296"/>
      <c r="D10" s="296"/>
      <c r="E10" s="296"/>
      <c r="F10" s="296"/>
    </row>
    <row r="11" spans="1:6" x14ac:dyDescent="0.25">
      <c r="A11" s="155" t="s">
        <v>361</v>
      </c>
      <c r="B11" s="155" t="s">
        <v>410</v>
      </c>
      <c r="C11" s="156">
        <f>SUM(C3:C9)</f>
        <v>419290.42212499987</v>
      </c>
      <c r="D11" s="156">
        <f t="shared" ref="D11:F11" si="1">SUM(D3:D9)</f>
        <v>33000</v>
      </c>
      <c r="E11" s="156">
        <f t="shared" si="1"/>
        <v>0</v>
      </c>
      <c r="F11" s="156">
        <f t="shared" si="1"/>
        <v>386290.42212499987</v>
      </c>
    </row>
  </sheetData>
  <mergeCells count="1">
    <mergeCell ref="C1:F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DCDEC-C6B4-470C-B408-994B262EB6A7}">
  <dimension ref="A1:J21"/>
  <sheetViews>
    <sheetView workbookViewId="0"/>
  </sheetViews>
  <sheetFormatPr baseColWidth="10" defaultColWidth="9.33203125" defaultRowHeight="13.2" x14ac:dyDescent="0.25"/>
  <cols>
    <col min="1" max="1" width="50" bestFit="1" customWidth="1"/>
    <col min="2" max="2" width="11.33203125" bestFit="1" customWidth="1"/>
    <col min="3" max="3" width="12.6640625" bestFit="1" customWidth="1"/>
    <col min="4" max="4" width="14.33203125" bestFit="1" customWidth="1"/>
    <col min="5" max="5" width="14" bestFit="1" customWidth="1"/>
  </cols>
  <sheetData>
    <row r="1" spans="1:10" x14ac:dyDescent="0.25">
      <c r="A1" s="170"/>
      <c r="B1" s="518" t="s">
        <v>408</v>
      </c>
      <c r="C1" s="518"/>
      <c r="D1" s="518"/>
      <c r="E1" s="518" t="s">
        <v>411</v>
      </c>
      <c r="F1" s="518"/>
      <c r="G1" s="518"/>
      <c r="H1" s="170"/>
      <c r="I1" s="170"/>
      <c r="J1" s="170"/>
    </row>
    <row r="2" spans="1:10" x14ac:dyDescent="0.25">
      <c r="A2" s="170"/>
      <c r="B2" s="170" t="s">
        <v>405</v>
      </c>
      <c r="C2" s="170" t="s">
        <v>406</v>
      </c>
      <c r="D2" s="170" t="s">
        <v>407</v>
      </c>
      <c r="E2" s="170" t="s">
        <v>405</v>
      </c>
      <c r="F2" s="170" t="s">
        <v>406</v>
      </c>
      <c r="G2" s="170" t="s">
        <v>407</v>
      </c>
      <c r="H2" s="170"/>
      <c r="I2" s="170" t="s">
        <v>412</v>
      </c>
      <c r="J2" s="170" t="s">
        <v>411</v>
      </c>
    </row>
    <row r="3" spans="1:10" x14ac:dyDescent="0.25">
      <c r="A3" s="157" t="s">
        <v>404</v>
      </c>
      <c r="B3" s="170">
        <v>985</v>
      </c>
      <c r="C3" s="170">
        <v>8078</v>
      </c>
      <c r="D3" s="170">
        <v>2601</v>
      </c>
      <c r="E3" s="172">
        <f>B3/B$5</f>
        <v>0.5644699140401146</v>
      </c>
      <c r="F3" s="172">
        <f t="shared" ref="F3:G5" si="0">C3/C$5</f>
        <v>0.57254234885534061</v>
      </c>
      <c r="G3" s="172">
        <f t="shared" si="0"/>
        <v>0.62239770279971285</v>
      </c>
      <c r="H3" s="170"/>
      <c r="I3" s="170">
        <f>SUM(B3:D3)</f>
        <v>11664</v>
      </c>
      <c r="J3" s="172">
        <f>I3/$I$5</f>
        <v>0.58223930514650823</v>
      </c>
    </row>
    <row r="4" spans="1:10" x14ac:dyDescent="0.25">
      <c r="A4" s="173" t="s">
        <v>409</v>
      </c>
      <c r="B4" s="171">
        <v>760</v>
      </c>
      <c r="C4" s="171">
        <v>6031</v>
      </c>
      <c r="D4" s="171">
        <v>1578</v>
      </c>
      <c r="E4" s="172">
        <f>B4/B$5</f>
        <v>0.4355300859598854</v>
      </c>
      <c r="F4" s="172">
        <f t="shared" si="0"/>
        <v>0.42745765114465945</v>
      </c>
      <c r="G4" s="172">
        <f t="shared" si="0"/>
        <v>0.37760229720028715</v>
      </c>
      <c r="H4" s="170"/>
      <c r="I4" s="170">
        <f>SUM(B4:D4)</f>
        <v>8369</v>
      </c>
      <c r="J4" s="172">
        <f>I4/$I$5</f>
        <v>0.41776069485349177</v>
      </c>
    </row>
    <row r="5" spans="1:10" x14ac:dyDescent="0.25">
      <c r="A5" s="157" t="s">
        <v>410</v>
      </c>
      <c r="B5" s="170">
        <f>SUM(B3:B4)</f>
        <v>1745</v>
      </c>
      <c r="C5" s="170">
        <f>SUM(C3:C4)</f>
        <v>14109</v>
      </c>
      <c r="D5" s="170">
        <f>SUM(D3:D4)</f>
        <v>4179</v>
      </c>
      <c r="E5" s="172">
        <f>B5/B$5</f>
        <v>1</v>
      </c>
      <c r="F5" s="172">
        <f t="shared" si="0"/>
        <v>1</v>
      </c>
      <c r="G5" s="172">
        <f t="shared" si="0"/>
        <v>1</v>
      </c>
      <c r="H5" s="170"/>
      <c r="I5" s="170">
        <f>SUM(I3:I4)</f>
        <v>20033</v>
      </c>
      <c r="J5" s="172">
        <f>I5/$I$5</f>
        <v>1</v>
      </c>
    </row>
    <row r="6" spans="1:10" x14ac:dyDescent="0.25">
      <c r="A6" s="157"/>
      <c r="B6" s="170"/>
      <c r="C6" s="170"/>
      <c r="D6" s="170"/>
      <c r="E6" s="172"/>
      <c r="F6" s="172"/>
      <c r="G6" s="172"/>
      <c r="H6" s="170"/>
      <c r="I6" s="170"/>
      <c r="J6" s="172"/>
    </row>
    <row r="7" spans="1:10" x14ac:dyDescent="0.25">
      <c r="A7" s="182" t="s">
        <v>429</v>
      </c>
    </row>
    <row r="8" spans="1:10" x14ac:dyDescent="0.25">
      <c r="A8" s="169" t="s">
        <v>423</v>
      </c>
      <c r="B8" s="169" t="s">
        <v>405</v>
      </c>
      <c r="C8" s="169" t="s">
        <v>406</v>
      </c>
      <c r="D8" s="169" t="s">
        <v>407</v>
      </c>
      <c r="E8" s="169" t="s">
        <v>426</v>
      </c>
    </row>
    <row r="9" spans="1:10" x14ac:dyDescent="0.25">
      <c r="A9" s="164" t="s">
        <v>424</v>
      </c>
      <c r="B9" s="165">
        <v>110</v>
      </c>
      <c r="C9" s="165">
        <v>495</v>
      </c>
      <c r="D9" s="165">
        <v>110</v>
      </c>
      <c r="E9" s="157"/>
    </row>
    <row r="10" spans="1:10" x14ac:dyDescent="0.25">
      <c r="A10" s="165" t="s">
        <v>404</v>
      </c>
      <c r="B10" s="165">
        <f t="shared" ref="B10:D11" si="1">B3*B$9</f>
        <v>108350</v>
      </c>
      <c r="C10" s="165">
        <f t="shared" si="1"/>
        <v>3998610</v>
      </c>
      <c r="D10" s="165">
        <f t="shared" si="1"/>
        <v>286110</v>
      </c>
      <c r="E10" s="166">
        <f t="shared" ref="E10:E11" si="2">SUM(B10:D10)</f>
        <v>4393070</v>
      </c>
    </row>
    <row r="11" spans="1:10" x14ac:dyDescent="0.25">
      <c r="A11" s="167" t="s">
        <v>409</v>
      </c>
      <c r="B11" s="165">
        <f t="shared" si="1"/>
        <v>83600</v>
      </c>
      <c r="C11" s="165">
        <f t="shared" si="1"/>
        <v>2985345</v>
      </c>
      <c r="D11" s="165">
        <f t="shared" si="1"/>
        <v>173580</v>
      </c>
      <c r="E11" s="166">
        <f t="shared" si="2"/>
        <v>3242525</v>
      </c>
    </row>
    <row r="12" spans="1:10" ht="16.8" x14ac:dyDescent="0.25">
      <c r="A12" s="168" t="s">
        <v>425</v>
      </c>
      <c r="B12" s="168">
        <f t="shared" ref="B12:D12" si="3">B5*B$9</f>
        <v>191950</v>
      </c>
      <c r="C12" s="168">
        <f t="shared" si="3"/>
        <v>6983955</v>
      </c>
      <c r="D12" s="168">
        <f t="shared" si="3"/>
        <v>459690</v>
      </c>
      <c r="E12" s="179">
        <f>SUM(B12:D12)</f>
        <v>7635595</v>
      </c>
    </row>
    <row r="15" spans="1:10" x14ac:dyDescent="0.25">
      <c r="A15" s="182" t="s">
        <v>430</v>
      </c>
    </row>
    <row r="16" spans="1:10" x14ac:dyDescent="0.25">
      <c r="A16" s="169" t="s">
        <v>423</v>
      </c>
      <c r="B16" s="169" t="s">
        <v>405</v>
      </c>
      <c r="C16" s="169" t="s">
        <v>406</v>
      </c>
      <c r="D16" s="169" t="s">
        <v>407</v>
      </c>
      <c r="E16" s="169" t="s">
        <v>426</v>
      </c>
    </row>
    <row r="17" spans="1:5" x14ac:dyDescent="0.25">
      <c r="A17" s="164" t="s">
        <v>424</v>
      </c>
      <c r="B17" s="165">
        <v>100</v>
      </c>
      <c r="C17" s="165">
        <v>500</v>
      </c>
      <c r="D17" s="165">
        <v>100</v>
      </c>
      <c r="E17" s="157"/>
    </row>
    <row r="18" spans="1:5" x14ac:dyDescent="0.25">
      <c r="A18" s="165" t="s">
        <v>404</v>
      </c>
      <c r="B18" s="165">
        <f t="shared" ref="B18:D19" si="4">B3*B$17</f>
        <v>98500</v>
      </c>
      <c r="C18" s="165">
        <f t="shared" si="4"/>
        <v>4039000</v>
      </c>
      <c r="D18" s="165">
        <f t="shared" si="4"/>
        <v>260100</v>
      </c>
      <c r="E18" s="166">
        <f t="shared" ref="E18:E19" si="5">SUM(B18:D18)</f>
        <v>4397600</v>
      </c>
    </row>
    <row r="19" spans="1:5" x14ac:dyDescent="0.25">
      <c r="A19" s="167" t="s">
        <v>409</v>
      </c>
      <c r="B19" s="165">
        <f t="shared" si="4"/>
        <v>76000</v>
      </c>
      <c r="C19" s="165">
        <f t="shared" si="4"/>
        <v>3015500</v>
      </c>
      <c r="D19" s="165">
        <f t="shared" si="4"/>
        <v>157800</v>
      </c>
      <c r="E19" s="166">
        <f t="shared" si="5"/>
        <v>3249300</v>
      </c>
    </row>
    <row r="20" spans="1:5" ht="16.8" x14ac:dyDescent="0.25">
      <c r="A20" s="168" t="s">
        <v>425</v>
      </c>
      <c r="B20" s="168">
        <f>SUM(B18:B19)</f>
        <v>174500</v>
      </c>
      <c r="C20" s="168">
        <f t="shared" ref="C20:D20" si="6">SUM(C18:C19)</f>
        <v>7054500</v>
      </c>
      <c r="D20" s="168">
        <f t="shared" si="6"/>
        <v>417900</v>
      </c>
      <c r="E20" s="179">
        <f>SUM(B20:D20)</f>
        <v>7646900</v>
      </c>
    </row>
    <row r="21" spans="1:5" x14ac:dyDescent="0.25">
      <c r="A21" s="181" t="s">
        <v>428</v>
      </c>
      <c r="E21" s="180"/>
    </row>
  </sheetData>
  <mergeCells count="2">
    <mergeCell ref="B1:D1"/>
    <mergeCell ref="E1:G1"/>
  </mergeCells>
  <pageMargins left="0.7" right="0.7" top="0.75" bottom="0.75" header="0.3" footer="0.3"/>
  <pageSetup paperSize="9" orientation="portrait" r:id="rId1"/>
  <ignoredErrors>
    <ignoredError sqref="B5:D5"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B28D1-8E02-46C6-9AAD-55F3FFC27104}">
  <sheetPr>
    <tabColor theme="1"/>
  </sheetPr>
  <dimension ref="A1:R1283"/>
  <sheetViews>
    <sheetView workbookViewId="0"/>
  </sheetViews>
  <sheetFormatPr baseColWidth="10" defaultColWidth="8.77734375" defaultRowHeight="14.4" x14ac:dyDescent="0.3"/>
  <cols>
    <col min="1" max="1" width="13.44140625" style="194" customWidth="1"/>
    <col min="2" max="2" width="9.6640625" style="233" customWidth="1"/>
    <col min="3" max="3" width="14.109375" style="235" customWidth="1"/>
    <col min="4" max="4" width="11" style="233" customWidth="1"/>
    <col min="5" max="5" width="35.6640625" style="198" customWidth="1"/>
    <col min="6" max="6" width="19.44140625" style="220" customWidth="1"/>
    <col min="7" max="7" width="15.33203125" style="223" customWidth="1"/>
    <col min="8" max="8" width="24.44140625" style="201" customWidth="1"/>
    <col min="9" max="9" width="14.77734375" style="202" customWidth="1"/>
    <col min="10" max="10" width="24.77734375" style="203" customWidth="1"/>
    <col min="11" max="11" width="57.6640625" style="204" customWidth="1"/>
    <col min="12" max="12" width="13.6640625" style="205" customWidth="1"/>
    <col min="13" max="13" width="14.44140625" style="203" customWidth="1"/>
    <col min="14" max="14" width="25.44140625" style="205" customWidth="1"/>
    <col min="15" max="15" width="32.77734375" style="194" customWidth="1"/>
    <col min="16" max="16" width="16.6640625" style="194" customWidth="1"/>
    <col min="17" max="17" width="8.77734375" style="194"/>
    <col min="18" max="18" width="16.109375" style="194" customWidth="1"/>
    <col min="19" max="20" width="9.6640625" style="194" customWidth="1"/>
    <col min="21" max="22" width="8.77734375" style="194"/>
    <col min="23" max="24" width="9.6640625" style="194" customWidth="1"/>
    <col min="25" max="25" width="8.77734375" style="194"/>
    <col min="26" max="26" width="9.6640625" style="194" customWidth="1"/>
    <col min="27" max="16384" width="8.77734375" style="194"/>
  </cols>
  <sheetData>
    <row r="1" spans="1:17" x14ac:dyDescent="0.3">
      <c r="A1" s="189" t="s">
        <v>432</v>
      </c>
      <c r="B1" s="183" t="s">
        <v>433</v>
      </c>
      <c r="C1" s="184" t="s">
        <v>434</v>
      </c>
      <c r="D1" s="183" t="s">
        <v>435</v>
      </c>
      <c r="E1" s="185" t="s">
        <v>436</v>
      </c>
      <c r="F1" s="186" t="s">
        <v>437</v>
      </c>
      <c r="G1" s="187" t="s">
        <v>438</v>
      </c>
      <c r="H1" s="188" t="s">
        <v>439</v>
      </c>
      <c r="I1" s="189" t="s">
        <v>440</v>
      </c>
      <c r="J1" s="190" t="s">
        <v>441</v>
      </c>
      <c r="K1" s="185" t="s">
        <v>442</v>
      </c>
      <c r="L1" s="191" t="s">
        <v>443</v>
      </c>
      <c r="M1" s="192" t="s">
        <v>444</v>
      </c>
      <c r="N1" s="193" t="s">
        <v>445</v>
      </c>
      <c r="O1" s="194" t="s">
        <v>900</v>
      </c>
      <c r="P1" s="194" t="s">
        <v>902</v>
      </c>
      <c r="Q1" s="194" t="s">
        <v>916</v>
      </c>
    </row>
    <row r="2" spans="1:17" hidden="1" x14ac:dyDescent="0.3">
      <c r="A2" s="244">
        <v>1</v>
      </c>
      <c r="B2" s="196" t="s">
        <v>446</v>
      </c>
      <c r="C2" s="197">
        <v>44573</v>
      </c>
      <c r="D2" s="196"/>
      <c r="E2" s="198" t="s">
        <v>447</v>
      </c>
      <c r="F2" s="199">
        <v>44937</v>
      </c>
      <c r="G2" s="200">
        <v>44937</v>
      </c>
      <c r="H2" s="201" t="s">
        <v>448</v>
      </c>
      <c r="J2" s="203" t="s">
        <v>449</v>
      </c>
      <c r="K2" s="204" t="s">
        <v>450</v>
      </c>
      <c r="L2" s="241">
        <v>53.11</v>
      </c>
      <c r="M2" s="206">
        <v>44986</v>
      </c>
      <c r="O2" s="194" t="s">
        <v>901</v>
      </c>
      <c r="P2" s="194" t="s">
        <v>903</v>
      </c>
      <c r="Q2" s="194" t="s">
        <v>918</v>
      </c>
    </row>
    <row r="3" spans="1:17" hidden="1" x14ac:dyDescent="0.3">
      <c r="A3" s="244">
        <v>2</v>
      </c>
      <c r="B3" s="196" t="s">
        <v>446</v>
      </c>
      <c r="C3" s="207">
        <v>44581</v>
      </c>
      <c r="D3" s="208"/>
      <c r="E3" s="209" t="s">
        <v>451</v>
      </c>
      <c r="F3" s="210">
        <v>44942</v>
      </c>
      <c r="G3" s="211">
        <v>44942</v>
      </c>
      <c r="H3" s="212" t="s">
        <v>452</v>
      </c>
      <c r="I3" s="213"/>
      <c r="J3" s="208" t="s">
        <v>449</v>
      </c>
      <c r="K3" s="214" t="s">
        <v>453</v>
      </c>
      <c r="L3" s="242">
        <v>89601.63</v>
      </c>
      <c r="M3" s="203" t="s">
        <v>454</v>
      </c>
      <c r="O3" s="194" t="s">
        <v>901</v>
      </c>
      <c r="P3" s="194" t="s">
        <v>904</v>
      </c>
      <c r="Q3" s="194" t="s">
        <v>922</v>
      </c>
    </row>
    <row r="4" spans="1:17" hidden="1" x14ac:dyDescent="0.3">
      <c r="A4" s="244">
        <v>3</v>
      </c>
      <c r="B4" s="196" t="s">
        <v>446</v>
      </c>
      <c r="C4" s="197">
        <v>44956</v>
      </c>
      <c r="D4" s="196"/>
      <c r="E4" s="198" t="s">
        <v>455</v>
      </c>
      <c r="F4" s="199">
        <v>44953</v>
      </c>
      <c r="G4" s="200">
        <v>44953</v>
      </c>
      <c r="H4" s="201" t="s">
        <v>456</v>
      </c>
      <c r="J4" s="195" t="s">
        <v>449</v>
      </c>
      <c r="K4" s="204" t="s">
        <v>457</v>
      </c>
      <c r="L4" s="241">
        <v>8938.5</v>
      </c>
      <c r="M4" s="215">
        <v>44986</v>
      </c>
      <c r="O4" s="236" t="s">
        <v>177</v>
      </c>
      <c r="Q4" s="194" t="s">
        <v>920</v>
      </c>
    </row>
    <row r="5" spans="1:17" hidden="1" x14ac:dyDescent="0.3">
      <c r="A5" s="244">
        <v>4</v>
      </c>
      <c r="B5" s="196" t="s">
        <v>446</v>
      </c>
      <c r="C5" s="197">
        <v>44958</v>
      </c>
      <c r="D5" s="196"/>
      <c r="E5" s="198" t="s">
        <v>458</v>
      </c>
      <c r="F5" s="199">
        <v>44958</v>
      </c>
      <c r="G5" s="200">
        <v>44958</v>
      </c>
      <c r="H5" s="201" t="s">
        <v>459</v>
      </c>
      <c r="J5" s="195" t="s">
        <v>449</v>
      </c>
      <c r="K5" s="216" t="s">
        <v>460</v>
      </c>
      <c r="L5" s="241">
        <v>2327.7399999999998</v>
      </c>
      <c r="M5" s="215">
        <v>44986</v>
      </c>
      <c r="O5" s="178" t="s">
        <v>48</v>
      </c>
      <c r="Q5" s="194" t="s">
        <v>918</v>
      </c>
    </row>
    <row r="6" spans="1:17" hidden="1" x14ac:dyDescent="0.3">
      <c r="A6" s="244">
        <v>5</v>
      </c>
      <c r="B6" s="196" t="s">
        <v>446</v>
      </c>
      <c r="C6" s="197">
        <v>44958</v>
      </c>
      <c r="D6" s="196"/>
      <c r="E6" s="198" t="s">
        <v>458</v>
      </c>
      <c r="F6" s="199">
        <v>44958</v>
      </c>
      <c r="G6" s="200">
        <v>44958</v>
      </c>
      <c r="H6" s="201" t="s">
        <v>461</v>
      </c>
      <c r="J6" s="195" t="s">
        <v>449</v>
      </c>
      <c r="K6" s="216" t="s">
        <v>462</v>
      </c>
      <c r="L6" s="241">
        <v>307.91000000000003</v>
      </c>
      <c r="M6" s="215">
        <v>44986</v>
      </c>
      <c r="O6" s="178" t="s">
        <v>48</v>
      </c>
      <c r="Q6" s="194" t="s">
        <v>918</v>
      </c>
    </row>
    <row r="7" spans="1:17" hidden="1" x14ac:dyDescent="0.3">
      <c r="A7" s="244">
        <v>6</v>
      </c>
      <c r="B7" s="196" t="s">
        <v>446</v>
      </c>
      <c r="C7" s="197">
        <v>44932</v>
      </c>
      <c r="D7" s="196"/>
      <c r="E7" s="198" t="s">
        <v>463</v>
      </c>
      <c r="F7" s="199">
        <v>44929</v>
      </c>
      <c r="G7" s="200">
        <v>44929</v>
      </c>
      <c r="H7" s="201" t="s">
        <v>464</v>
      </c>
      <c r="J7" s="203" t="s">
        <v>449</v>
      </c>
      <c r="K7" s="204" t="s">
        <v>465</v>
      </c>
      <c r="L7" s="241">
        <v>27.83</v>
      </c>
      <c r="M7" s="203" t="s">
        <v>454</v>
      </c>
      <c r="O7" s="5" t="s">
        <v>64</v>
      </c>
      <c r="Q7" s="194" t="s">
        <v>918</v>
      </c>
    </row>
    <row r="8" spans="1:17" hidden="1" x14ac:dyDescent="0.3">
      <c r="A8" s="244">
        <v>7</v>
      </c>
      <c r="B8" s="196" t="s">
        <v>446</v>
      </c>
      <c r="C8" s="197">
        <v>44932</v>
      </c>
      <c r="D8" s="196"/>
      <c r="E8" s="198" t="s">
        <v>463</v>
      </c>
      <c r="F8" s="199">
        <v>44929</v>
      </c>
      <c r="G8" s="200">
        <v>44929</v>
      </c>
      <c r="H8" s="201" t="s">
        <v>466</v>
      </c>
      <c r="J8" s="203" t="s">
        <v>449</v>
      </c>
      <c r="K8" s="204" t="s">
        <v>467</v>
      </c>
      <c r="L8" s="241">
        <v>79.19</v>
      </c>
      <c r="M8" s="215">
        <v>44986</v>
      </c>
      <c r="O8" s="5" t="s">
        <v>64</v>
      </c>
      <c r="Q8" s="194" t="s">
        <v>918</v>
      </c>
    </row>
    <row r="9" spans="1:17" hidden="1" x14ac:dyDescent="0.3">
      <c r="A9" s="244">
        <v>8</v>
      </c>
      <c r="B9" s="196" t="s">
        <v>446</v>
      </c>
      <c r="C9" s="197">
        <v>44937</v>
      </c>
      <c r="D9" s="196"/>
      <c r="E9" s="198" t="s">
        <v>468</v>
      </c>
      <c r="F9" s="199">
        <v>44927</v>
      </c>
      <c r="G9" s="200">
        <v>44927</v>
      </c>
      <c r="H9" s="201" t="s">
        <v>469</v>
      </c>
      <c r="J9" s="203" t="s">
        <v>449</v>
      </c>
      <c r="K9" s="204" t="s">
        <v>470</v>
      </c>
      <c r="L9" s="241">
        <v>617.1</v>
      </c>
      <c r="M9" s="215">
        <v>44986</v>
      </c>
      <c r="O9" s="5" t="s">
        <v>89</v>
      </c>
      <c r="P9" s="194" t="s">
        <v>907</v>
      </c>
      <c r="Q9" s="194" t="s">
        <v>918</v>
      </c>
    </row>
    <row r="10" spans="1:17" hidden="1" x14ac:dyDescent="0.3">
      <c r="A10" s="244">
        <v>9</v>
      </c>
      <c r="B10" s="196" t="s">
        <v>446</v>
      </c>
      <c r="C10" s="197">
        <v>44953</v>
      </c>
      <c r="D10" s="196"/>
      <c r="E10" s="198" t="s">
        <v>471</v>
      </c>
      <c r="F10" s="199">
        <v>44957</v>
      </c>
      <c r="G10" s="200">
        <v>44957</v>
      </c>
      <c r="H10" s="201" t="s">
        <v>472</v>
      </c>
      <c r="J10" s="203" t="s">
        <v>449</v>
      </c>
      <c r="K10" s="204" t="s">
        <v>473</v>
      </c>
      <c r="L10" s="241">
        <v>443.55</v>
      </c>
      <c r="M10" s="215">
        <v>44986</v>
      </c>
      <c r="O10" s="5" t="s">
        <v>10</v>
      </c>
      <c r="Q10" s="194" t="s">
        <v>918</v>
      </c>
    </row>
    <row r="11" spans="1:17" hidden="1" x14ac:dyDescent="0.3">
      <c r="A11" s="244">
        <v>10</v>
      </c>
      <c r="B11" s="196" t="s">
        <v>446</v>
      </c>
      <c r="C11" s="197">
        <v>44945</v>
      </c>
      <c r="D11" s="196"/>
      <c r="E11" s="198" t="s">
        <v>474</v>
      </c>
      <c r="F11" s="199">
        <v>44945</v>
      </c>
      <c r="G11" s="200">
        <v>44945</v>
      </c>
      <c r="H11" s="201" t="s">
        <v>475</v>
      </c>
      <c r="J11" s="203" t="s">
        <v>449</v>
      </c>
      <c r="K11" s="204" t="s">
        <v>476</v>
      </c>
      <c r="L11" s="241">
        <v>9070.16</v>
      </c>
      <c r="M11" s="215">
        <v>44986</v>
      </c>
      <c r="O11" s="178" t="s">
        <v>84</v>
      </c>
      <c r="Q11" s="194" t="s">
        <v>917</v>
      </c>
    </row>
    <row r="12" spans="1:17" hidden="1" x14ac:dyDescent="0.3">
      <c r="A12" s="244">
        <v>11</v>
      </c>
      <c r="B12" s="196" t="s">
        <v>446</v>
      </c>
      <c r="C12" s="197">
        <v>44946</v>
      </c>
      <c r="D12" s="196"/>
      <c r="E12" s="209" t="s">
        <v>451</v>
      </c>
      <c r="F12" s="199">
        <v>44943</v>
      </c>
      <c r="G12" s="200">
        <v>44943</v>
      </c>
      <c r="H12" s="201" t="s">
        <v>477</v>
      </c>
      <c r="J12" s="203" t="s">
        <v>449</v>
      </c>
      <c r="K12" s="204" t="s">
        <v>478</v>
      </c>
      <c r="L12" s="241">
        <v>59139.42</v>
      </c>
      <c r="M12" s="203" t="s">
        <v>454</v>
      </c>
      <c r="O12" s="194" t="s">
        <v>901</v>
      </c>
      <c r="P12" s="194" t="s">
        <v>904</v>
      </c>
      <c r="Q12" s="194" t="s">
        <v>922</v>
      </c>
    </row>
    <row r="13" spans="1:17" hidden="1" x14ac:dyDescent="0.3">
      <c r="A13" s="244">
        <v>12</v>
      </c>
      <c r="B13" s="196" t="s">
        <v>446</v>
      </c>
      <c r="C13" s="197">
        <v>44949</v>
      </c>
      <c r="D13" s="196"/>
      <c r="E13" s="198" t="s">
        <v>479</v>
      </c>
      <c r="F13" s="199">
        <v>44945</v>
      </c>
      <c r="G13" s="200">
        <v>44945</v>
      </c>
      <c r="H13" s="201" t="s">
        <v>480</v>
      </c>
      <c r="J13" s="203" t="s">
        <v>449</v>
      </c>
      <c r="K13" s="204" t="s">
        <v>481</v>
      </c>
      <c r="L13" s="241">
        <v>104.3</v>
      </c>
      <c r="M13" s="203" t="s">
        <v>454</v>
      </c>
      <c r="O13" s="5" t="s">
        <v>59</v>
      </c>
      <c r="Q13" s="194" t="s">
        <v>918</v>
      </c>
    </row>
    <row r="14" spans="1:17" hidden="1" x14ac:dyDescent="0.3">
      <c r="A14" s="244">
        <v>13</v>
      </c>
      <c r="B14" s="196" t="s">
        <v>446</v>
      </c>
      <c r="C14" s="197">
        <v>44953</v>
      </c>
      <c r="D14" s="196"/>
      <c r="E14" s="198" t="s">
        <v>482</v>
      </c>
      <c r="F14" s="199">
        <v>44950</v>
      </c>
      <c r="G14" s="200">
        <v>44950</v>
      </c>
      <c r="H14" s="201" t="s">
        <v>483</v>
      </c>
      <c r="J14" s="203" t="s">
        <v>449</v>
      </c>
      <c r="K14" s="204" t="s">
        <v>484</v>
      </c>
      <c r="L14" s="241">
        <v>180.26</v>
      </c>
      <c r="M14" s="203" t="s">
        <v>454</v>
      </c>
      <c r="O14" s="194" t="s">
        <v>901</v>
      </c>
      <c r="P14" s="194" t="s">
        <v>905</v>
      </c>
      <c r="Q14" s="194" t="s">
        <v>918</v>
      </c>
    </row>
    <row r="15" spans="1:17" hidden="1" x14ac:dyDescent="0.3">
      <c r="A15" s="244">
        <v>14</v>
      </c>
      <c r="B15" s="196" t="s">
        <v>446</v>
      </c>
      <c r="C15" s="197">
        <v>44956</v>
      </c>
      <c r="D15" s="196"/>
      <c r="E15" s="198" t="s">
        <v>485</v>
      </c>
      <c r="F15" s="199">
        <v>44954</v>
      </c>
      <c r="G15" s="200">
        <v>44954</v>
      </c>
      <c r="H15" s="201" t="s">
        <v>486</v>
      </c>
      <c r="J15" s="203" t="s">
        <v>449</v>
      </c>
      <c r="K15" s="204" t="s">
        <v>487</v>
      </c>
      <c r="L15" s="241">
        <v>89.54</v>
      </c>
      <c r="M15" s="203" t="s">
        <v>454</v>
      </c>
      <c r="N15" s="205" t="s">
        <v>488</v>
      </c>
      <c r="O15" s="194" t="s">
        <v>89</v>
      </c>
      <c r="P15" s="194" t="s">
        <v>906</v>
      </c>
      <c r="Q15" s="194" t="s">
        <v>918</v>
      </c>
    </row>
    <row r="16" spans="1:17" hidden="1" x14ac:dyDescent="0.3">
      <c r="A16" s="244">
        <v>15</v>
      </c>
      <c r="B16" s="196" t="s">
        <v>446</v>
      </c>
      <c r="C16" s="197">
        <v>44958</v>
      </c>
      <c r="D16" s="196"/>
      <c r="E16" s="198" t="s">
        <v>458</v>
      </c>
      <c r="F16" s="199">
        <v>44958</v>
      </c>
      <c r="G16" s="200">
        <v>44958</v>
      </c>
      <c r="H16" s="201" t="s">
        <v>489</v>
      </c>
      <c r="J16" s="203" t="s">
        <v>449</v>
      </c>
      <c r="K16" s="204" t="s">
        <v>490</v>
      </c>
      <c r="L16" s="241">
        <v>445</v>
      </c>
      <c r="M16" s="215">
        <v>44986</v>
      </c>
      <c r="O16" s="178" t="s">
        <v>48</v>
      </c>
      <c r="Q16" s="194" t="s">
        <v>918</v>
      </c>
    </row>
    <row r="17" spans="1:17" hidden="1" x14ac:dyDescent="0.3">
      <c r="A17" s="244">
        <v>16</v>
      </c>
      <c r="B17" s="196" t="s">
        <v>446</v>
      </c>
      <c r="C17" s="197">
        <v>44959</v>
      </c>
      <c r="D17" s="196"/>
      <c r="E17" s="198" t="s">
        <v>491</v>
      </c>
      <c r="F17" s="199">
        <v>44958</v>
      </c>
      <c r="G17" s="200">
        <v>44958</v>
      </c>
      <c r="H17" s="201" t="s">
        <v>492</v>
      </c>
      <c r="J17" s="203" t="s">
        <v>449</v>
      </c>
      <c r="K17" s="204" t="s">
        <v>493</v>
      </c>
      <c r="L17" s="241">
        <v>617.1</v>
      </c>
      <c r="M17" s="215">
        <v>44986</v>
      </c>
      <c r="O17" s="5" t="s">
        <v>89</v>
      </c>
      <c r="P17" s="194" t="s">
        <v>907</v>
      </c>
      <c r="Q17" s="194" t="s">
        <v>918</v>
      </c>
    </row>
    <row r="18" spans="1:17" hidden="1" x14ac:dyDescent="0.3">
      <c r="A18" s="244">
        <v>17</v>
      </c>
      <c r="B18" s="196" t="s">
        <v>446</v>
      </c>
      <c r="C18" s="197">
        <v>44943</v>
      </c>
      <c r="D18" s="196"/>
      <c r="E18" s="198" t="s">
        <v>494</v>
      </c>
      <c r="F18" s="199">
        <v>44973</v>
      </c>
      <c r="G18" s="200">
        <v>44973</v>
      </c>
      <c r="H18" s="201" t="s">
        <v>495</v>
      </c>
      <c r="J18" s="203" t="s">
        <v>449</v>
      </c>
      <c r="K18" s="204" t="s">
        <v>496</v>
      </c>
      <c r="L18" s="241">
        <v>3267.77</v>
      </c>
      <c r="M18" s="215">
        <v>44986</v>
      </c>
      <c r="O18" s="5" t="s">
        <v>160</v>
      </c>
      <c r="Q18" s="194" t="s">
        <v>919</v>
      </c>
    </row>
    <row r="19" spans="1:17" hidden="1" x14ac:dyDescent="0.3">
      <c r="A19" s="244">
        <v>18</v>
      </c>
      <c r="B19" s="196" t="s">
        <v>446</v>
      </c>
      <c r="C19" s="197">
        <v>44578</v>
      </c>
      <c r="D19" s="196"/>
      <c r="E19" s="198" t="s">
        <v>494</v>
      </c>
      <c r="F19" s="199">
        <v>44973</v>
      </c>
      <c r="G19" s="200">
        <v>44973</v>
      </c>
      <c r="H19" s="201" t="s">
        <v>497</v>
      </c>
      <c r="J19" s="203" t="s">
        <v>449</v>
      </c>
      <c r="K19" s="204" t="s">
        <v>498</v>
      </c>
      <c r="L19" s="241">
        <v>12487.2</v>
      </c>
      <c r="M19" s="215">
        <v>44986</v>
      </c>
      <c r="O19" s="5" t="s">
        <v>160</v>
      </c>
      <c r="Q19" s="194" t="s">
        <v>919</v>
      </c>
    </row>
    <row r="20" spans="1:17" hidden="1" x14ac:dyDescent="0.3">
      <c r="A20" s="244">
        <v>19</v>
      </c>
      <c r="B20" s="196" t="s">
        <v>446</v>
      </c>
      <c r="C20" s="197">
        <v>44943</v>
      </c>
      <c r="D20" s="196"/>
      <c r="E20" s="198" t="s">
        <v>494</v>
      </c>
      <c r="F20" s="199">
        <v>44973</v>
      </c>
      <c r="G20" s="200">
        <v>44973</v>
      </c>
      <c r="H20" s="201" t="s">
        <v>499</v>
      </c>
      <c r="J20" s="203" t="s">
        <v>449</v>
      </c>
      <c r="K20" s="204" t="s">
        <v>500</v>
      </c>
      <c r="L20" s="241">
        <v>1556.4</v>
      </c>
      <c r="M20" s="215">
        <v>44986</v>
      </c>
      <c r="O20" s="5" t="s">
        <v>160</v>
      </c>
      <c r="Q20" s="194" t="s">
        <v>919</v>
      </c>
    </row>
    <row r="21" spans="1:17" hidden="1" x14ac:dyDescent="0.3">
      <c r="A21" s="244">
        <v>20</v>
      </c>
      <c r="B21" s="196" t="s">
        <v>446</v>
      </c>
      <c r="C21" s="197">
        <v>44607</v>
      </c>
      <c r="D21" s="196"/>
      <c r="E21" s="198" t="s">
        <v>501</v>
      </c>
      <c r="F21" s="199">
        <v>44939</v>
      </c>
      <c r="G21" s="200">
        <v>44939</v>
      </c>
      <c r="H21" s="201" t="s">
        <v>502</v>
      </c>
      <c r="J21" s="203" t="s">
        <v>449</v>
      </c>
      <c r="K21" s="204" t="s">
        <v>503</v>
      </c>
      <c r="L21" s="241">
        <v>65.56</v>
      </c>
      <c r="M21" s="215">
        <v>44986</v>
      </c>
      <c r="O21" s="5" t="s">
        <v>100</v>
      </c>
      <c r="Q21" s="194" t="s">
        <v>920</v>
      </c>
    </row>
    <row r="22" spans="1:17" hidden="1" x14ac:dyDescent="0.3">
      <c r="A22" s="244">
        <v>21</v>
      </c>
      <c r="B22" s="196" t="s">
        <v>446</v>
      </c>
      <c r="C22" s="197">
        <v>44972</v>
      </c>
      <c r="D22" s="196"/>
      <c r="E22" s="198" t="s">
        <v>504</v>
      </c>
      <c r="F22" s="199">
        <v>44570</v>
      </c>
      <c r="G22" s="200">
        <v>44935</v>
      </c>
      <c r="H22" s="201" t="s">
        <v>505</v>
      </c>
      <c r="J22" s="203" t="s">
        <v>449</v>
      </c>
      <c r="K22" s="204" t="s">
        <v>506</v>
      </c>
      <c r="L22" s="241">
        <v>70.36</v>
      </c>
      <c r="M22" s="215">
        <v>44986</v>
      </c>
      <c r="O22" s="5" t="s">
        <v>75</v>
      </c>
      <c r="P22" s="194" t="s">
        <v>939</v>
      </c>
      <c r="Q22" s="194" t="s">
        <v>938</v>
      </c>
    </row>
    <row r="23" spans="1:17" hidden="1" x14ac:dyDescent="0.3">
      <c r="A23" s="244">
        <v>22</v>
      </c>
      <c r="B23" s="196" t="s">
        <v>446</v>
      </c>
      <c r="C23" s="197">
        <v>44972</v>
      </c>
      <c r="D23" s="196"/>
      <c r="E23" s="198" t="s">
        <v>501</v>
      </c>
      <c r="F23" s="199">
        <v>44939</v>
      </c>
      <c r="G23" s="200">
        <v>44939</v>
      </c>
      <c r="H23" s="201" t="s">
        <v>507</v>
      </c>
      <c r="J23" s="203" t="s">
        <v>449</v>
      </c>
      <c r="K23" s="204" t="s">
        <v>508</v>
      </c>
      <c r="L23" s="241">
        <v>71.959999999999994</v>
      </c>
      <c r="M23" s="215">
        <v>44986</v>
      </c>
      <c r="O23" s="5" t="s">
        <v>10</v>
      </c>
      <c r="Q23" s="194" t="s">
        <v>938</v>
      </c>
    </row>
    <row r="24" spans="1:17" s="219" customFormat="1" hidden="1" x14ac:dyDescent="0.3">
      <c r="A24" s="244">
        <v>23</v>
      </c>
      <c r="B24" s="217" t="s">
        <v>446</v>
      </c>
      <c r="C24" s="218">
        <v>44960</v>
      </c>
      <c r="D24" s="217"/>
      <c r="E24" s="209" t="s">
        <v>451</v>
      </c>
      <c r="F24" s="199">
        <v>44957</v>
      </c>
      <c r="G24" s="200">
        <v>44957</v>
      </c>
      <c r="H24" s="201" t="s">
        <v>509</v>
      </c>
      <c r="I24" s="202"/>
      <c r="J24" s="203" t="s">
        <v>449</v>
      </c>
      <c r="K24" s="204" t="s">
        <v>510</v>
      </c>
      <c r="L24" s="241">
        <v>183.74</v>
      </c>
      <c r="M24" s="203" t="s">
        <v>454</v>
      </c>
      <c r="N24" s="205"/>
      <c r="O24" s="5" t="s">
        <v>144</v>
      </c>
      <c r="Q24" s="194" t="s">
        <v>938</v>
      </c>
    </row>
    <row r="25" spans="1:17" hidden="1" x14ac:dyDescent="0.3">
      <c r="A25" s="244">
        <v>24</v>
      </c>
      <c r="B25" s="217" t="s">
        <v>446</v>
      </c>
      <c r="C25" s="197">
        <v>44960</v>
      </c>
      <c r="D25" s="196"/>
      <c r="E25" s="209" t="s">
        <v>451</v>
      </c>
      <c r="F25" s="199">
        <v>44957</v>
      </c>
      <c r="G25" s="200">
        <v>44957</v>
      </c>
      <c r="H25" s="201" t="s">
        <v>511</v>
      </c>
      <c r="J25" s="203" t="s">
        <v>449</v>
      </c>
      <c r="K25" s="204" t="s">
        <v>512</v>
      </c>
      <c r="L25" s="241">
        <v>1206.47</v>
      </c>
      <c r="M25" s="203" t="s">
        <v>454</v>
      </c>
      <c r="O25" s="194" t="s">
        <v>901</v>
      </c>
      <c r="P25" s="194" t="s">
        <v>910</v>
      </c>
      <c r="Q25" s="194" t="s">
        <v>938</v>
      </c>
    </row>
    <row r="26" spans="1:17" hidden="1" x14ac:dyDescent="0.3">
      <c r="A26" s="244">
        <v>25</v>
      </c>
      <c r="B26" s="217" t="s">
        <v>446</v>
      </c>
      <c r="C26" s="197">
        <v>44963</v>
      </c>
      <c r="D26" s="196"/>
      <c r="E26" s="198" t="s">
        <v>513</v>
      </c>
      <c r="F26" s="199">
        <v>44960</v>
      </c>
      <c r="G26" s="200">
        <v>44960</v>
      </c>
      <c r="H26" s="201" t="s">
        <v>514</v>
      </c>
      <c r="J26" s="203" t="s">
        <v>449</v>
      </c>
      <c r="K26" s="204" t="s">
        <v>465</v>
      </c>
      <c r="L26" s="241">
        <v>27.83</v>
      </c>
      <c r="M26" s="203" t="s">
        <v>454</v>
      </c>
      <c r="O26" s="5" t="s">
        <v>64</v>
      </c>
      <c r="Q26" s="194" t="s">
        <v>938</v>
      </c>
    </row>
    <row r="27" spans="1:17" hidden="1" x14ac:dyDescent="0.3">
      <c r="A27" s="244">
        <v>26</v>
      </c>
      <c r="B27" s="196" t="s">
        <v>446</v>
      </c>
      <c r="C27" s="197">
        <v>44963</v>
      </c>
      <c r="D27" s="196"/>
      <c r="E27" s="198" t="s">
        <v>513</v>
      </c>
      <c r="F27" s="199">
        <v>44960</v>
      </c>
      <c r="G27" s="200">
        <v>44960</v>
      </c>
      <c r="H27" s="201" t="s">
        <v>515</v>
      </c>
      <c r="J27" s="202" t="s">
        <v>449</v>
      </c>
      <c r="K27" s="204" t="s">
        <v>516</v>
      </c>
      <c r="L27" s="241">
        <v>81.41</v>
      </c>
      <c r="M27" s="215">
        <v>45012</v>
      </c>
      <c r="O27" s="5" t="s">
        <v>64</v>
      </c>
      <c r="Q27" s="194" t="s">
        <v>938</v>
      </c>
    </row>
    <row r="28" spans="1:17" x14ac:dyDescent="0.3">
      <c r="A28" s="244">
        <v>27</v>
      </c>
      <c r="B28" s="196" t="s">
        <v>446</v>
      </c>
      <c r="C28" s="197">
        <v>44966</v>
      </c>
      <c r="D28" s="196"/>
      <c r="E28" s="198" t="s">
        <v>517</v>
      </c>
      <c r="F28" s="220" t="s">
        <v>518</v>
      </c>
      <c r="G28" s="200">
        <v>44987</v>
      </c>
      <c r="H28" s="201" t="s">
        <v>519</v>
      </c>
      <c r="J28" s="203" t="s">
        <v>449</v>
      </c>
      <c r="K28" s="204" t="s">
        <v>520</v>
      </c>
      <c r="L28" s="241">
        <v>1016.4</v>
      </c>
      <c r="M28" s="215">
        <v>45012</v>
      </c>
      <c r="O28" s="5" t="s">
        <v>149</v>
      </c>
      <c r="Q28" s="194" t="s">
        <v>938</v>
      </c>
    </row>
    <row r="29" spans="1:17" x14ac:dyDescent="0.3">
      <c r="A29" s="244">
        <v>28</v>
      </c>
      <c r="B29" s="196" t="s">
        <v>446</v>
      </c>
      <c r="C29" s="197">
        <v>44967</v>
      </c>
      <c r="D29" s="196"/>
      <c r="E29" s="198" t="s">
        <v>517</v>
      </c>
      <c r="F29" s="199">
        <v>44957</v>
      </c>
      <c r="G29" s="200">
        <v>44987</v>
      </c>
      <c r="H29" s="201" t="s">
        <v>521</v>
      </c>
      <c r="J29" s="203" t="s">
        <v>449</v>
      </c>
      <c r="K29" s="204" t="s">
        <v>522</v>
      </c>
      <c r="L29" s="241">
        <v>1016.4</v>
      </c>
      <c r="M29" s="215">
        <v>45012</v>
      </c>
      <c r="O29" s="5" t="s">
        <v>149</v>
      </c>
      <c r="Q29" s="194" t="s">
        <v>938</v>
      </c>
    </row>
    <row r="30" spans="1:17" hidden="1" x14ac:dyDescent="0.3">
      <c r="A30" s="244">
        <v>29</v>
      </c>
      <c r="B30" s="196" t="s">
        <v>446</v>
      </c>
      <c r="C30" s="197">
        <v>44972</v>
      </c>
      <c r="D30" s="196"/>
      <c r="E30" s="198" t="s">
        <v>523</v>
      </c>
      <c r="F30" s="199">
        <v>44997</v>
      </c>
      <c r="G30" s="200">
        <v>44997</v>
      </c>
      <c r="H30" s="201" t="s">
        <v>524</v>
      </c>
      <c r="J30" s="203" t="s">
        <v>449</v>
      </c>
      <c r="K30" s="204" t="s">
        <v>525</v>
      </c>
      <c r="L30" s="241">
        <v>113.57</v>
      </c>
      <c r="M30" s="215">
        <v>45012</v>
      </c>
      <c r="O30" s="237" t="s">
        <v>8</v>
      </c>
      <c r="Q30" s="194" t="s">
        <v>938</v>
      </c>
    </row>
    <row r="31" spans="1:17" hidden="1" x14ac:dyDescent="0.3">
      <c r="A31" s="244">
        <v>30</v>
      </c>
      <c r="B31" s="196" t="s">
        <v>446</v>
      </c>
      <c r="C31" s="197">
        <v>44974</v>
      </c>
      <c r="D31" s="196"/>
      <c r="E31" s="198" t="s">
        <v>526</v>
      </c>
      <c r="F31" s="199">
        <v>44951</v>
      </c>
      <c r="G31" s="200">
        <v>44951</v>
      </c>
      <c r="H31" s="201" t="s">
        <v>527</v>
      </c>
      <c r="J31" s="203" t="s">
        <v>449</v>
      </c>
      <c r="K31" s="204" t="s">
        <v>528</v>
      </c>
      <c r="L31" s="241">
        <v>2242.13</v>
      </c>
      <c r="M31" s="215">
        <v>45012</v>
      </c>
      <c r="O31" s="194" t="s">
        <v>102</v>
      </c>
      <c r="Q31" s="194" t="s">
        <v>938</v>
      </c>
    </row>
    <row r="32" spans="1:17" hidden="1" x14ac:dyDescent="0.3">
      <c r="A32" s="244">
        <v>31</v>
      </c>
      <c r="B32" s="196" t="s">
        <v>446</v>
      </c>
      <c r="C32" s="197">
        <v>44974</v>
      </c>
      <c r="D32" s="196"/>
      <c r="E32" s="209" t="s">
        <v>451</v>
      </c>
      <c r="F32" s="199">
        <v>44973</v>
      </c>
      <c r="G32" s="200">
        <v>44973</v>
      </c>
      <c r="H32" s="201" t="s">
        <v>529</v>
      </c>
      <c r="J32" s="203" t="s">
        <v>449</v>
      </c>
      <c r="K32" s="204" t="s">
        <v>530</v>
      </c>
      <c r="L32" s="241">
        <v>59139.42</v>
      </c>
      <c r="M32" s="203" t="s">
        <v>454</v>
      </c>
      <c r="O32" s="194" t="s">
        <v>901</v>
      </c>
      <c r="P32" s="194" t="s">
        <v>909</v>
      </c>
      <c r="Q32" s="194" t="s">
        <v>938</v>
      </c>
    </row>
    <row r="33" spans="1:17" hidden="1" x14ac:dyDescent="0.3">
      <c r="A33" s="244">
        <v>32</v>
      </c>
      <c r="B33" s="196" t="s">
        <v>446</v>
      </c>
      <c r="C33" s="197">
        <v>44977</v>
      </c>
      <c r="D33" s="196"/>
      <c r="E33" s="198" t="s">
        <v>531</v>
      </c>
      <c r="F33" s="199">
        <v>44957</v>
      </c>
      <c r="G33" s="200">
        <v>44957</v>
      </c>
      <c r="H33" s="201" t="s">
        <v>532</v>
      </c>
      <c r="J33" s="203" t="s">
        <v>449</v>
      </c>
      <c r="K33" s="204" t="s">
        <v>533</v>
      </c>
      <c r="L33" s="241">
        <v>549.04</v>
      </c>
      <c r="M33" s="215">
        <v>45012</v>
      </c>
      <c r="O33" s="5" t="s">
        <v>142</v>
      </c>
      <c r="Q33" s="194" t="s">
        <v>938</v>
      </c>
    </row>
    <row r="34" spans="1:17" hidden="1" x14ac:dyDescent="0.3">
      <c r="A34" s="244">
        <v>33</v>
      </c>
      <c r="B34" s="196" t="s">
        <v>446</v>
      </c>
      <c r="C34" s="197">
        <v>44979</v>
      </c>
      <c r="D34" s="196"/>
      <c r="E34" s="198" t="s">
        <v>479</v>
      </c>
      <c r="F34" s="199">
        <v>44976</v>
      </c>
      <c r="G34" s="200">
        <v>44976</v>
      </c>
      <c r="H34" s="201" t="s">
        <v>534</v>
      </c>
      <c r="J34" s="203" t="s">
        <v>449</v>
      </c>
      <c r="K34" s="204" t="s">
        <v>535</v>
      </c>
      <c r="L34" s="241">
        <v>104.3</v>
      </c>
      <c r="M34" s="203" t="s">
        <v>454</v>
      </c>
      <c r="O34" s="5" t="s">
        <v>59</v>
      </c>
      <c r="Q34" s="194" t="s">
        <v>938</v>
      </c>
    </row>
    <row r="35" spans="1:17" hidden="1" x14ac:dyDescent="0.3">
      <c r="A35" s="244">
        <v>34</v>
      </c>
      <c r="B35" s="196" t="s">
        <v>446</v>
      </c>
      <c r="C35" s="197">
        <v>44980</v>
      </c>
      <c r="D35" s="196"/>
      <c r="E35" s="198" t="s">
        <v>471</v>
      </c>
      <c r="F35" s="199">
        <v>44985</v>
      </c>
      <c r="G35" s="200">
        <v>44985</v>
      </c>
      <c r="H35" s="201" t="s">
        <v>536</v>
      </c>
      <c r="J35" s="203" t="s">
        <v>449</v>
      </c>
      <c r="K35" s="204" t="s">
        <v>537</v>
      </c>
      <c r="L35" s="241">
        <v>443.55</v>
      </c>
      <c r="M35" s="215">
        <v>45012</v>
      </c>
      <c r="O35" s="5" t="s">
        <v>10</v>
      </c>
      <c r="Q35" s="194" t="s">
        <v>938</v>
      </c>
    </row>
    <row r="36" spans="1:17" hidden="1" x14ac:dyDescent="0.3">
      <c r="A36" s="244">
        <v>35</v>
      </c>
      <c r="B36" s="196" t="s">
        <v>446</v>
      </c>
      <c r="C36" s="197">
        <v>44986</v>
      </c>
      <c r="D36" s="196"/>
      <c r="E36" s="198" t="s">
        <v>485</v>
      </c>
      <c r="F36" s="199">
        <v>44985</v>
      </c>
      <c r="G36" s="200">
        <v>45013</v>
      </c>
      <c r="H36" s="201" t="s">
        <v>538</v>
      </c>
      <c r="J36" s="203" t="s">
        <v>449</v>
      </c>
      <c r="K36" s="204" t="s">
        <v>487</v>
      </c>
      <c r="L36" s="241">
        <v>89.54</v>
      </c>
      <c r="M36" s="203" t="s">
        <v>454</v>
      </c>
      <c r="N36" s="205" t="s">
        <v>539</v>
      </c>
      <c r="O36" s="194" t="s">
        <v>89</v>
      </c>
      <c r="P36" s="194" t="s">
        <v>906</v>
      </c>
      <c r="Q36" s="194" t="s">
        <v>938</v>
      </c>
    </row>
    <row r="37" spans="1:17" hidden="1" x14ac:dyDescent="0.3">
      <c r="A37" s="244">
        <v>36</v>
      </c>
      <c r="B37" s="196" t="s">
        <v>446</v>
      </c>
      <c r="C37" s="197">
        <v>44986</v>
      </c>
      <c r="D37" s="196"/>
      <c r="E37" s="198" t="s">
        <v>458</v>
      </c>
      <c r="F37" s="199">
        <v>44986</v>
      </c>
      <c r="G37" s="200">
        <v>44986</v>
      </c>
      <c r="H37" s="201" t="s">
        <v>540</v>
      </c>
      <c r="J37" s="203" t="s">
        <v>449</v>
      </c>
      <c r="K37" s="204" t="s">
        <v>541</v>
      </c>
      <c r="L37" s="241">
        <v>2327.7399999999998</v>
      </c>
      <c r="M37" s="215">
        <v>45012</v>
      </c>
      <c r="O37" s="178" t="s">
        <v>48</v>
      </c>
      <c r="Q37" s="194" t="s">
        <v>938</v>
      </c>
    </row>
    <row r="38" spans="1:17" hidden="1" x14ac:dyDescent="0.3">
      <c r="A38" s="244">
        <v>37</v>
      </c>
      <c r="B38" s="196" t="s">
        <v>446</v>
      </c>
      <c r="C38" s="197">
        <v>44986</v>
      </c>
      <c r="D38" s="196"/>
      <c r="E38" s="198" t="s">
        <v>458</v>
      </c>
      <c r="F38" s="199">
        <v>44986</v>
      </c>
      <c r="G38" s="200">
        <v>44986</v>
      </c>
      <c r="H38" s="201" t="s">
        <v>542</v>
      </c>
      <c r="J38" s="203" t="s">
        <v>449</v>
      </c>
      <c r="K38" s="204" t="s">
        <v>543</v>
      </c>
      <c r="L38" s="241">
        <v>307.91000000000003</v>
      </c>
      <c r="M38" s="215">
        <v>45012</v>
      </c>
      <c r="O38" s="178" t="s">
        <v>48</v>
      </c>
      <c r="Q38" s="194" t="s">
        <v>938</v>
      </c>
    </row>
    <row r="39" spans="1:17" hidden="1" x14ac:dyDescent="0.3">
      <c r="A39" s="244">
        <v>38</v>
      </c>
      <c r="B39" s="196" t="s">
        <v>446</v>
      </c>
      <c r="C39" s="197">
        <v>44986</v>
      </c>
      <c r="D39" s="196"/>
      <c r="E39" s="198" t="s">
        <v>544</v>
      </c>
      <c r="F39" s="199">
        <v>44986</v>
      </c>
      <c r="G39" s="200">
        <v>44986</v>
      </c>
      <c r="H39" s="201" t="s">
        <v>545</v>
      </c>
      <c r="J39" s="203" t="s">
        <v>449</v>
      </c>
      <c r="K39" s="204" t="s">
        <v>490</v>
      </c>
      <c r="L39" s="241">
        <v>445</v>
      </c>
      <c r="M39" s="215">
        <v>45012</v>
      </c>
      <c r="O39" s="178" t="s">
        <v>48</v>
      </c>
      <c r="Q39" s="194" t="s">
        <v>938</v>
      </c>
    </row>
    <row r="40" spans="1:17" hidden="1" x14ac:dyDescent="0.3">
      <c r="A40" s="244">
        <v>39</v>
      </c>
      <c r="B40" s="196" t="s">
        <v>446</v>
      </c>
      <c r="C40" s="197">
        <v>44986</v>
      </c>
      <c r="D40" s="196"/>
      <c r="E40" s="198" t="s">
        <v>546</v>
      </c>
      <c r="F40" s="199">
        <v>44980</v>
      </c>
      <c r="G40" s="200">
        <v>44980</v>
      </c>
      <c r="H40" s="201" t="s">
        <v>547</v>
      </c>
      <c r="J40" s="203" t="s">
        <v>449</v>
      </c>
      <c r="K40" s="204" t="s">
        <v>548</v>
      </c>
      <c r="L40" s="241">
        <v>326.7</v>
      </c>
      <c r="M40" s="215">
        <v>45012</v>
      </c>
      <c r="O40" s="194" t="s">
        <v>89</v>
      </c>
      <c r="Q40" s="194" t="s">
        <v>938</v>
      </c>
    </row>
    <row r="41" spans="1:17" hidden="1" x14ac:dyDescent="0.3">
      <c r="A41" s="244">
        <v>40</v>
      </c>
      <c r="B41" s="196" t="s">
        <v>446</v>
      </c>
      <c r="C41" s="197">
        <v>44987</v>
      </c>
      <c r="D41" s="196"/>
      <c r="E41" s="198" t="s">
        <v>549</v>
      </c>
      <c r="F41" s="199">
        <v>44957</v>
      </c>
      <c r="G41" s="200">
        <v>44957</v>
      </c>
      <c r="H41" s="201" t="s">
        <v>550</v>
      </c>
      <c r="J41" s="203" t="s">
        <v>449</v>
      </c>
      <c r="K41" s="204" t="s">
        <v>551</v>
      </c>
      <c r="L41" s="241">
        <v>355.92</v>
      </c>
      <c r="M41" s="215">
        <v>45012</v>
      </c>
      <c r="O41" s="194" t="s">
        <v>55</v>
      </c>
      <c r="Q41" s="194" t="s">
        <v>938</v>
      </c>
    </row>
    <row r="42" spans="1:17" hidden="1" x14ac:dyDescent="0.3">
      <c r="A42" s="244">
        <v>41</v>
      </c>
      <c r="B42" s="196" t="s">
        <v>446</v>
      </c>
      <c r="C42" s="197">
        <v>44987</v>
      </c>
      <c r="D42" s="196"/>
      <c r="E42" s="198" t="s">
        <v>552</v>
      </c>
      <c r="F42" s="199">
        <v>44968</v>
      </c>
      <c r="G42" s="200">
        <v>44968</v>
      </c>
      <c r="H42" s="201" t="s">
        <v>553</v>
      </c>
      <c r="J42" s="203" t="s">
        <v>449</v>
      </c>
      <c r="K42" s="204" t="s">
        <v>554</v>
      </c>
      <c r="L42" s="241">
        <v>53.15</v>
      </c>
      <c r="M42" s="215">
        <v>45012</v>
      </c>
      <c r="O42" s="5" t="s">
        <v>55</v>
      </c>
      <c r="P42" s="194" t="s">
        <v>908</v>
      </c>
      <c r="Q42" s="194" t="s">
        <v>938</v>
      </c>
    </row>
    <row r="43" spans="1:17" hidden="1" x14ac:dyDescent="0.3">
      <c r="A43" s="244">
        <v>42</v>
      </c>
      <c r="B43" s="196" t="s">
        <v>446</v>
      </c>
      <c r="C43" s="197">
        <v>44993</v>
      </c>
      <c r="D43" s="196"/>
      <c r="E43" s="198" t="s">
        <v>463</v>
      </c>
      <c r="F43" s="199">
        <v>44988</v>
      </c>
      <c r="G43" s="200">
        <v>44988</v>
      </c>
      <c r="H43" s="201" t="s">
        <v>555</v>
      </c>
      <c r="J43" s="203" t="s">
        <v>449</v>
      </c>
      <c r="K43" s="204" t="s">
        <v>556</v>
      </c>
      <c r="L43" s="241">
        <v>80.02</v>
      </c>
      <c r="M43" s="215">
        <v>45012</v>
      </c>
      <c r="O43" s="5" t="s">
        <v>64</v>
      </c>
      <c r="Q43" s="194" t="s">
        <v>938</v>
      </c>
    </row>
    <row r="44" spans="1:17" hidden="1" x14ac:dyDescent="0.3">
      <c r="A44" s="244">
        <v>43</v>
      </c>
      <c r="B44" s="196" t="s">
        <v>446</v>
      </c>
      <c r="C44" s="197">
        <v>44988</v>
      </c>
      <c r="D44" s="196"/>
      <c r="E44" s="198" t="s">
        <v>468</v>
      </c>
      <c r="F44" s="199">
        <v>44986</v>
      </c>
      <c r="G44" s="200">
        <v>44986</v>
      </c>
      <c r="H44" s="201" t="s">
        <v>557</v>
      </c>
      <c r="J44" s="203" t="s">
        <v>449</v>
      </c>
      <c r="K44" s="204" t="s">
        <v>558</v>
      </c>
      <c r="L44" s="241">
        <v>617.1</v>
      </c>
      <c r="M44" s="215">
        <v>45012</v>
      </c>
      <c r="O44" s="5" t="s">
        <v>89</v>
      </c>
      <c r="P44" s="194" t="s">
        <v>907</v>
      </c>
      <c r="Q44" s="194" t="s">
        <v>938</v>
      </c>
    </row>
    <row r="45" spans="1:17" x14ac:dyDescent="0.3">
      <c r="A45" s="244">
        <v>44</v>
      </c>
      <c r="B45" s="196" t="s">
        <v>446</v>
      </c>
      <c r="C45" s="197">
        <v>44992</v>
      </c>
      <c r="D45" s="196"/>
      <c r="E45" s="198" t="s">
        <v>517</v>
      </c>
      <c r="F45" s="199">
        <v>44985</v>
      </c>
      <c r="G45" s="200">
        <v>45015</v>
      </c>
      <c r="H45" s="201" t="s">
        <v>559</v>
      </c>
      <c r="J45" s="203" t="s">
        <v>449</v>
      </c>
      <c r="K45" s="204" t="s">
        <v>560</v>
      </c>
      <c r="L45" s="241">
        <v>1137.4000000000001</v>
      </c>
      <c r="M45" s="215">
        <v>45012</v>
      </c>
      <c r="O45" s="5" t="s">
        <v>149</v>
      </c>
      <c r="Q45" s="194" t="s">
        <v>938</v>
      </c>
    </row>
    <row r="46" spans="1:17" x14ac:dyDescent="0.3">
      <c r="A46" s="244">
        <v>45</v>
      </c>
      <c r="B46" s="196" t="s">
        <v>446</v>
      </c>
      <c r="C46" s="197">
        <v>44992</v>
      </c>
      <c r="D46" s="196"/>
      <c r="E46" s="198" t="s">
        <v>517</v>
      </c>
      <c r="F46" s="199">
        <v>44985</v>
      </c>
      <c r="G46" s="200">
        <v>45015</v>
      </c>
      <c r="H46" s="201" t="s">
        <v>561</v>
      </c>
      <c r="J46" s="203" t="s">
        <v>449</v>
      </c>
      <c r="K46" s="204" t="s">
        <v>560</v>
      </c>
      <c r="L46" s="241">
        <v>1137.4000000000001</v>
      </c>
      <c r="M46" s="215">
        <v>45012</v>
      </c>
      <c r="O46" s="5" t="s">
        <v>149</v>
      </c>
      <c r="Q46" s="194" t="s">
        <v>938</v>
      </c>
    </row>
    <row r="47" spans="1:17" hidden="1" x14ac:dyDescent="0.3">
      <c r="A47" s="244">
        <v>46</v>
      </c>
      <c r="B47" s="196" t="s">
        <v>446</v>
      </c>
      <c r="C47" s="197">
        <v>44992</v>
      </c>
      <c r="D47" s="196"/>
      <c r="E47" s="198" t="s">
        <v>562</v>
      </c>
      <c r="F47" s="199">
        <v>44988</v>
      </c>
      <c r="G47" s="200">
        <v>44996</v>
      </c>
      <c r="H47" s="201" t="s">
        <v>563</v>
      </c>
      <c r="J47" s="203" t="s">
        <v>449</v>
      </c>
      <c r="K47" s="204" t="s">
        <v>564</v>
      </c>
      <c r="L47" s="241">
        <v>469.5</v>
      </c>
      <c r="M47" s="215">
        <v>45012</v>
      </c>
      <c r="O47" s="5" t="s">
        <v>73</v>
      </c>
      <c r="Q47" s="194" t="s">
        <v>938</v>
      </c>
    </row>
    <row r="48" spans="1:17" x14ac:dyDescent="0.3">
      <c r="A48" s="244">
        <v>47</v>
      </c>
      <c r="B48" s="196" t="s">
        <v>565</v>
      </c>
      <c r="C48" s="197">
        <v>44992</v>
      </c>
      <c r="D48" s="196"/>
      <c r="E48" s="198" t="s">
        <v>517</v>
      </c>
      <c r="F48" s="199">
        <v>44985</v>
      </c>
      <c r="G48" s="200">
        <v>45015</v>
      </c>
      <c r="H48" s="201" t="s">
        <v>566</v>
      </c>
      <c r="J48" s="203" t="s">
        <v>449</v>
      </c>
      <c r="K48" s="204" t="s">
        <v>567</v>
      </c>
      <c r="L48" s="241">
        <v>1137.4000000000001</v>
      </c>
      <c r="M48" s="215">
        <v>45012</v>
      </c>
      <c r="O48" s="5" t="s">
        <v>149</v>
      </c>
      <c r="Q48" s="194" t="s">
        <v>938</v>
      </c>
    </row>
    <row r="49" spans="1:17" hidden="1" x14ac:dyDescent="0.3">
      <c r="A49" s="244">
        <v>48</v>
      </c>
      <c r="B49" s="196" t="s">
        <v>446</v>
      </c>
      <c r="C49" s="197">
        <v>44993</v>
      </c>
      <c r="D49" s="196"/>
      <c r="E49" s="198" t="s">
        <v>513</v>
      </c>
      <c r="F49" s="199">
        <v>44988</v>
      </c>
      <c r="G49" s="200">
        <v>44988</v>
      </c>
      <c r="H49" s="203">
        <v>730228880</v>
      </c>
      <c r="J49" s="203" t="s">
        <v>449</v>
      </c>
      <c r="K49" s="204" t="s">
        <v>465</v>
      </c>
      <c r="L49" s="241">
        <v>27.83</v>
      </c>
      <c r="M49" s="203" t="s">
        <v>454</v>
      </c>
      <c r="O49" s="5" t="s">
        <v>64</v>
      </c>
      <c r="Q49" s="194" t="s">
        <v>938</v>
      </c>
    </row>
    <row r="50" spans="1:17" hidden="1" x14ac:dyDescent="0.3">
      <c r="A50" s="244">
        <v>49</v>
      </c>
      <c r="B50" s="196" t="s">
        <v>446</v>
      </c>
      <c r="C50" s="197">
        <v>44994</v>
      </c>
      <c r="D50" s="196"/>
      <c r="E50" s="198" t="s">
        <v>568</v>
      </c>
      <c r="F50" s="199">
        <v>44993</v>
      </c>
      <c r="G50" s="200">
        <v>44993</v>
      </c>
      <c r="H50" s="203">
        <v>4484604</v>
      </c>
      <c r="J50" s="203" t="s">
        <v>449</v>
      </c>
      <c r="K50" s="204" t="s">
        <v>569</v>
      </c>
      <c r="L50" s="241">
        <v>475.59</v>
      </c>
      <c r="M50" s="215">
        <v>45012</v>
      </c>
      <c r="O50" s="194" t="s">
        <v>160</v>
      </c>
      <c r="Q50" s="194" t="s">
        <v>938</v>
      </c>
    </row>
    <row r="51" spans="1:17" hidden="1" x14ac:dyDescent="0.3">
      <c r="A51" s="244">
        <v>50</v>
      </c>
      <c r="B51" s="196" t="s">
        <v>446</v>
      </c>
      <c r="C51" s="197">
        <v>44999</v>
      </c>
      <c r="D51" s="196"/>
      <c r="E51" s="198" t="s">
        <v>544</v>
      </c>
      <c r="F51" s="199">
        <v>44999</v>
      </c>
      <c r="G51" s="200">
        <v>44999</v>
      </c>
      <c r="H51" s="201" t="s">
        <v>570</v>
      </c>
      <c r="J51" s="203" t="s">
        <v>449</v>
      </c>
      <c r="K51" s="204" t="s">
        <v>571</v>
      </c>
      <c r="L51" s="241">
        <v>80</v>
      </c>
      <c r="M51" s="215">
        <v>45012</v>
      </c>
      <c r="O51" s="5" t="s">
        <v>55</v>
      </c>
      <c r="Q51" s="194" t="s">
        <v>938</v>
      </c>
    </row>
    <row r="52" spans="1:17" hidden="1" x14ac:dyDescent="0.3">
      <c r="A52" s="244">
        <v>51</v>
      </c>
      <c r="B52" s="196" t="s">
        <v>446</v>
      </c>
      <c r="C52" s="197">
        <v>45000</v>
      </c>
      <c r="D52" s="196"/>
      <c r="E52" s="198" t="s">
        <v>494</v>
      </c>
      <c r="F52" s="199">
        <v>44998</v>
      </c>
      <c r="G52" s="200">
        <v>44998</v>
      </c>
      <c r="H52" s="203">
        <v>23053</v>
      </c>
      <c r="J52" s="203" t="s">
        <v>449</v>
      </c>
      <c r="K52" s="204" t="s">
        <v>572</v>
      </c>
      <c r="L52" s="241">
        <v>83.64</v>
      </c>
      <c r="M52" s="215">
        <v>45012</v>
      </c>
      <c r="O52" s="5" t="s">
        <v>160</v>
      </c>
      <c r="Q52" s="194" t="s">
        <v>938</v>
      </c>
    </row>
    <row r="53" spans="1:17" hidden="1" x14ac:dyDescent="0.3">
      <c r="A53" s="244">
        <v>52</v>
      </c>
      <c r="B53" s="196" t="s">
        <v>446</v>
      </c>
      <c r="C53" s="197">
        <v>45005</v>
      </c>
      <c r="D53" s="196"/>
      <c r="E53" s="209" t="s">
        <v>451</v>
      </c>
      <c r="F53" s="199">
        <v>45001</v>
      </c>
      <c r="G53" s="200">
        <v>45001</v>
      </c>
      <c r="H53" s="201" t="s">
        <v>573</v>
      </c>
      <c r="J53" s="203" t="s">
        <v>449</v>
      </c>
      <c r="K53" s="204" t="s">
        <v>478</v>
      </c>
      <c r="L53" s="241">
        <v>49282.85</v>
      </c>
      <c r="M53" s="203" t="s">
        <v>454</v>
      </c>
      <c r="O53" s="194" t="s">
        <v>901</v>
      </c>
      <c r="P53" s="194" t="s">
        <v>909</v>
      </c>
      <c r="Q53" s="194" t="s">
        <v>938</v>
      </c>
    </row>
    <row r="54" spans="1:17" hidden="1" x14ac:dyDescent="0.3">
      <c r="A54" s="244">
        <v>53</v>
      </c>
      <c r="B54" s="196" t="s">
        <v>565</v>
      </c>
      <c r="C54" s="197">
        <v>45005</v>
      </c>
      <c r="D54" s="196"/>
      <c r="E54" s="198" t="s">
        <v>523</v>
      </c>
      <c r="F54" s="199">
        <v>45001</v>
      </c>
      <c r="G54" s="200">
        <v>45031</v>
      </c>
      <c r="H54" s="201" t="s">
        <v>574</v>
      </c>
      <c r="J54" s="203" t="s">
        <v>449</v>
      </c>
      <c r="K54" s="204" t="s">
        <v>575</v>
      </c>
      <c r="L54" s="241">
        <v>3695.97</v>
      </c>
      <c r="M54" s="215">
        <v>45030</v>
      </c>
      <c r="O54" s="237" t="s">
        <v>8</v>
      </c>
      <c r="Q54" s="194" t="s">
        <v>938</v>
      </c>
    </row>
    <row r="55" spans="1:17" hidden="1" x14ac:dyDescent="0.3">
      <c r="A55" s="244">
        <v>54</v>
      </c>
      <c r="B55" s="196" t="s">
        <v>446</v>
      </c>
      <c r="C55" s="197">
        <v>45008</v>
      </c>
      <c r="D55" s="196"/>
      <c r="E55" s="198" t="s">
        <v>479</v>
      </c>
      <c r="F55" s="199">
        <v>45004</v>
      </c>
      <c r="G55" s="200">
        <v>45004</v>
      </c>
      <c r="H55" s="201" t="s">
        <v>576</v>
      </c>
      <c r="J55" s="203" t="s">
        <v>449</v>
      </c>
      <c r="K55" s="204" t="s">
        <v>577</v>
      </c>
      <c r="L55" s="241">
        <v>902.02</v>
      </c>
      <c r="M55" s="215" t="s">
        <v>454</v>
      </c>
      <c r="O55" s="5" t="s">
        <v>59</v>
      </c>
      <c r="Q55" s="194" t="s">
        <v>938</v>
      </c>
    </row>
    <row r="56" spans="1:17" hidden="1" x14ac:dyDescent="0.3">
      <c r="A56" s="244">
        <v>55</v>
      </c>
      <c r="B56" s="196" t="s">
        <v>446</v>
      </c>
      <c r="C56" s="197">
        <v>45008</v>
      </c>
      <c r="D56" s="196"/>
      <c r="E56" s="198" t="s">
        <v>494</v>
      </c>
      <c r="F56" s="199">
        <v>45008</v>
      </c>
      <c r="G56" s="200">
        <v>45008</v>
      </c>
      <c r="H56" s="201" t="s">
        <v>578</v>
      </c>
      <c r="J56" s="203" t="s">
        <v>449</v>
      </c>
      <c r="K56" s="204" t="s">
        <v>160</v>
      </c>
      <c r="L56" s="241">
        <v>12512.8</v>
      </c>
      <c r="M56" s="215">
        <v>45030</v>
      </c>
      <c r="O56" s="5" t="s">
        <v>160</v>
      </c>
      <c r="Q56" s="194" t="s">
        <v>938</v>
      </c>
    </row>
    <row r="57" spans="1:17" hidden="1" x14ac:dyDescent="0.3">
      <c r="A57" s="244">
        <v>56</v>
      </c>
      <c r="B57" s="196" t="s">
        <v>446</v>
      </c>
      <c r="C57" s="197">
        <v>45012</v>
      </c>
      <c r="D57" s="196"/>
      <c r="E57" s="209" t="s">
        <v>451</v>
      </c>
      <c r="F57" s="199">
        <v>44985</v>
      </c>
      <c r="G57" s="200">
        <v>45013</v>
      </c>
      <c r="H57" s="201" t="s">
        <v>579</v>
      </c>
      <c r="J57" s="203" t="s">
        <v>449</v>
      </c>
      <c r="K57" s="204" t="s">
        <v>512</v>
      </c>
      <c r="L57" s="241">
        <v>-0.71</v>
      </c>
      <c r="M57" s="203" t="s">
        <v>580</v>
      </c>
      <c r="O57" s="194" t="s">
        <v>901</v>
      </c>
      <c r="P57" s="194" t="s">
        <v>909</v>
      </c>
      <c r="Q57" s="194" t="s">
        <v>938</v>
      </c>
    </row>
    <row r="58" spans="1:17" hidden="1" x14ac:dyDescent="0.3">
      <c r="A58" s="244">
        <v>57</v>
      </c>
      <c r="B58" s="196" t="s">
        <v>446</v>
      </c>
      <c r="C58" s="197">
        <v>45012</v>
      </c>
      <c r="D58" s="196"/>
      <c r="E58" s="209" t="s">
        <v>451</v>
      </c>
      <c r="F58" s="199">
        <v>44985</v>
      </c>
      <c r="G58" s="200">
        <v>44985</v>
      </c>
      <c r="H58" s="201" t="s">
        <v>581</v>
      </c>
      <c r="J58" s="203" t="s">
        <v>449</v>
      </c>
      <c r="K58" s="204" t="s">
        <v>510</v>
      </c>
      <c r="L58" s="241">
        <v>22.43</v>
      </c>
      <c r="M58" s="203" t="s">
        <v>454</v>
      </c>
      <c r="O58" s="5" t="s">
        <v>144</v>
      </c>
      <c r="Q58" s="194" t="s">
        <v>938</v>
      </c>
    </row>
    <row r="59" spans="1:17" hidden="1" x14ac:dyDescent="0.3">
      <c r="A59" s="244">
        <v>58</v>
      </c>
      <c r="B59" s="196" t="s">
        <v>446</v>
      </c>
      <c r="C59" s="197">
        <v>45012</v>
      </c>
      <c r="D59" s="196"/>
      <c r="E59" s="209" t="s">
        <v>451</v>
      </c>
      <c r="F59" s="199">
        <v>44985</v>
      </c>
      <c r="G59" s="200">
        <v>44985</v>
      </c>
      <c r="H59" s="201" t="s">
        <v>582</v>
      </c>
      <c r="J59" s="203" t="s">
        <v>449</v>
      </c>
      <c r="K59" s="204" t="s">
        <v>583</v>
      </c>
      <c r="L59" s="241">
        <v>1205.76</v>
      </c>
      <c r="M59" s="203" t="s">
        <v>454</v>
      </c>
      <c r="O59" s="194" t="s">
        <v>901</v>
      </c>
      <c r="P59" s="194" t="s">
        <v>910</v>
      </c>
      <c r="Q59" s="194" t="s">
        <v>938</v>
      </c>
    </row>
    <row r="60" spans="1:17" hidden="1" x14ac:dyDescent="0.3">
      <c r="A60" s="244">
        <v>59</v>
      </c>
      <c r="B60" s="196" t="s">
        <v>446</v>
      </c>
      <c r="C60" s="197">
        <v>45012</v>
      </c>
      <c r="D60" s="196"/>
      <c r="E60" s="198" t="s">
        <v>471</v>
      </c>
      <c r="F60" s="199">
        <v>45016</v>
      </c>
      <c r="G60" s="200">
        <v>45016</v>
      </c>
      <c r="H60" s="201" t="s">
        <v>584</v>
      </c>
      <c r="J60" s="203" t="s">
        <v>449</v>
      </c>
      <c r="K60" s="204" t="s">
        <v>585</v>
      </c>
      <c r="L60" s="241">
        <v>443.55</v>
      </c>
      <c r="M60" s="215">
        <v>45030</v>
      </c>
      <c r="O60" s="5" t="s">
        <v>10</v>
      </c>
      <c r="Q60" s="194" t="s">
        <v>938</v>
      </c>
    </row>
    <row r="61" spans="1:17" hidden="1" x14ac:dyDescent="0.3">
      <c r="A61" s="244">
        <v>60</v>
      </c>
      <c r="B61" s="196" t="s">
        <v>446</v>
      </c>
      <c r="C61" s="197">
        <v>44931</v>
      </c>
      <c r="D61" s="196"/>
      <c r="E61" s="198" t="s">
        <v>586</v>
      </c>
      <c r="F61" s="199">
        <v>44931</v>
      </c>
      <c r="G61" s="200">
        <v>44931</v>
      </c>
      <c r="H61" s="201" t="s">
        <v>587</v>
      </c>
      <c r="J61" s="203" t="s">
        <v>449</v>
      </c>
      <c r="K61" s="204" t="s">
        <v>588</v>
      </c>
      <c r="L61" s="241">
        <v>3536</v>
      </c>
      <c r="M61" s="215">
        <v>45030</v>
      </c>
      <c r="O61" s="194" t="s">
        <v>36</v>
      </c>
      <c r="Q61" s="194" t="s">
        <v>938</v>
      </c>
    </row>
    <row r="62" spans="1:17" hidden="1" x14ac:dyDescent="0.3">
      <c r="A62" s="244">
        <v>61</v>
      </c>
      <c r="B62" s="196" t="s">
        <v>446</v>
      </c>
      <c r="C62" s="197">
        <v>45022</v>
      </c>
      <c r="D62" s="196"/>
      <c r="E62" s="198" t="s">
        <v>463</v>
      </c>
      <c r="F62" s="199">
        <v>45019</v>
      </c>
      <c r="G62" s="200">
        <v>45019</v>
      </c>
      <c r="H62" s="201" t="s">
        <v>589</v>
      </c>
      <c r="J62" s="203" t="s">
        <v>449</v>
      </c>
      <c r="K62" s="204" t="s">
        <v>465</v>
      </c>
      <c r="L62" s="241">
        <v>27.83</v>
      </c>
      <c r="M62" s="203" t="s">
        <v>454</v>
      </c>
      <c r="O62" s="5" t="s">
        <v>64</v>
      </c>
      <c r="Q62" s="194" t="s">
        <v>938</v>
      </c>
    </row>
    <row r="63" spans="1:17" hidden="1" x14ac:dyDescent="0.3">
      <c r="A63" s="244">
        <v>62</v>
      </c>
      <c r="B63" s="196" t="s">
        <v>446</v>
      </c>
      <c r="C63" s="197">
        <v>45022</v>
      </c>
      <c r="D63" s="196"/>
      <c r="E63" s="198" t="s">
        <v>463</v>
      </c>
      <c r="F63" s="199">
        <v>45019</v>
      </c>
      <c r="G63" s="200">
        <v>45019</v>
      </c>
      <c r="H63" s="201" t="s">
        <v>590</v>
      </c>
      <c r="J63" s="203" t="s">
        <v>449</v>
      </c>
      <c r="K63" s="204" t="s">
        <v>591</v>
      </c>
      <c r="L63" s="241">
        <v>87.77</v>
      </c>
      <c r="M63" s="203" t="s">
        <v>592</v>
      </c>
      <c r="O63" s="5" t="s">
        <v>64</v>
      </c>
      <c r="Q63" s="194" t="s">
        <v>938</v>
      </c>
    </row>
    <row r="64" spans="1:17" hidden="1" x14ac:dyDescent="0.3">
      <c r="A64" s="244">
        <v>63</v>
      </c>
      <c r="B64" s="196" t="s">
        <v>446</v>
      </c>
      <c r="C64" s="197">
        <v>45020</v>
      </c>
      <c r="D64" s="196"/>
      <c r="E64" s="198" t="s">
        <v>447</v>
      </c>
      <c r="F64" s="199">
        <v>44987</v>
      </c>
      <c r="G64" s="200">
        <v>44987</v>
      </c>
      <c r="H64" s="201" t="s">
        <v>593</v>
      </c>
      <c r="J64" s="203" t="s">
        <v>449</v>
      </c>
      <c r="K64" s="204" t="s">
        <v>594</v>
      </c>
      <c r="L64" s="241">
        <v>107.42</v>
      </c>
      <c r="M64" s="215">
        <v>45030</v>
      </c>
      <c r="O64" s="194" t="s">
        <v>901</v>
      </c>
      <c r="P64" s="194" t="s">
        <v>903</v>
      </c>
      <c r="Q64" s="194" t="s">
        <v>938</v>
      </c>
    </row>
    <row r="65" spans="1:17" hidden="1" x14ac:dyDescent="0.3">
      <c r="A65" s="244">
        <v>64</v>
      </c>
      <c r="B65" s="196" t="s">
        <v>446</v>
      </c>
      <c r="C65" s="197">
        <v>45014</v>
      </c>
      <c r="D65" s="196"/>
      <c r="E65" s="198" t="s">
        <v>595</v>
      </c>
      <c r="F65" s="199">
        <v>45012</v>
      </c>
      <c r="G65" s="200">
        <v>45012</v>
      </c>
      <c r="H65" s="201" t="s">
        <v>596</v>
      </c>
      <c r="J65" s="203" t="s">
        <v>449</v>
      </c>
      <c r="K65" s="204" t="s">
        <v>597</v>
      </c>
      <c r="L65" s="241">
        <v>3554.18</v>
      </c>
      <c r="M65" s="215">
        <v>45030</v>
      </c>
      <c r="O65" s="5" t="s">
        <v>142</v>
      </c>
      <c r="Q65" s="194" t="s">
        <v>938</v>
      </c>
    </row>
    <row r="66" spans="1:17" hidden="1" x14ac:dyDescent="0.3">
      <c r="A66" s="244">
        <v>65</v>
      </c>
      <c r="B66" s="196" t="s">
        <v>446</v>
      </c>
      <c r="C66" s="197">
        <v>45015</v>
      </c>
      <c r="D66" s="196"/>
      <c r="E66" s="198" t="s">
        <v>458</v>
      </c>
      <c r="F66" s="199">
        <v>45017</v>
      </c>
      <c r="G66" s="200">
        <v>45017</v>
      </c>
      <c r="H66" s="201" t="s">
        <v>598</v>
      </c>
      <c r="J66" s="203" t="s">
        <v>449</v>
      </c>
      <c r="K66" s="204" t="s">
        <v>599</v>
      </c>
      <c r="L66" s="241">
        <v>307.91000000000003</v>
      </c>
      <c r="M66" s="215">
        <v>45030</v>
      </c>
      <c r="O66" s="178" t="s">
        <v>48</v>
      </c>
      <c r="Q66" s="194" t="s">
        <v>938</v>
      </c>
    </row>
    <row r="67" spans="1:17" hidden="1" x14ac:dyDescent="0.3">
      <c r="A67" s="244">
        <v>66</v>
      </c>
      <c r="B67" s="196" t="s">
        <v>446</v>
      </c>
      <c r="C67" s="197">
        <v>45014</v>
      </c>
      <c r="D67" s="196"/>
      <c r="E67" s="198" t="s">
        <v>485</v>
      </c>
      <c r="F67" s="220" t="s">
        <v>600</v>
      </c>
      <c r="G67" s="200">
        <v>45013</v>
      </c>
      <c r="H67" s="201" t="s">
        <v>601</v>
      </c>
      <c r="J67" s="203" t="s">
        <v>449</v>
      </c>
      <c r="K67" s="204" t="s">
        <v>487</v>
      </c>
      <c r="L67" s="241">
        <v>89.54</v>
      </c>
      <c r="M67" s="203" t="s">
        <v>454</v>
      </c>
      <c r="N67" s="205" t="s">
        <v>539</v>
      </c>
      <c r="O67" s="194" t="s">
        <v>89</v>
      </c>
      <c r="P67" s="194" t="s">
        <v>906</v>
      </c>
      <c r="Q67" s="194" t="s">
        <v>938</v>
      </c>
    </row>
    <row r="68" spans="1:17" hidden="1" x14ac:dyDescent="0.3">
      <c r="A68" s="244">
        <v>67</v>
      </c>
      <c r="B68" s="196" t="s">
        <v>446</v>
      </c>
      <c r="C68" s="197">
        <v>45019</v>
      </c>
      <c r="D68" s="196"/>
      <c r="E68" s="198" t="s">
        <v>482</v>
      </c>
      <c r="F68" s="199">
        <v>45016</v>
      </c>
      <c r="G68" s="200">
        <v>45016</v>
      </c>
      <c r="H68" s="201" t="s">
        <v>602</v>
      </c>
      <c r="J68" s="203" t="s">
        <v>449</v>
      </c>
      <c r="K68" s="204" t="s">
        <v>603</v>
      </c>
      <c r="L68" s="241">
        <v>188.45</v>
      </c>
      <c r="M68" s="203" t="s">
        <v>454</v>
      </c>
      <c r="O68" s="194" t="s">
        <v>901</v>
      </c>
      <c r="P68" s="194" t="s">
        <v>905</v>
      </c>
      <c r="Q68" s="194" t="s">
        <v>938</v>
      </c>
    </row>
    <row r="69" spans="1:17" hidden="1" x14ac:dyDescent="0.3">
      <c r="A69" s="244">
        <v>68</v>
      </c>
      <c r="B69" s="196" t="s">
        <v>446</v>
      </c>
      <c r="C69" s="197">
        <v>45020</v>
      </c>
      <c r="D69" s="196"/>
      <c r="E69" s="198" t="s">
        <v>468</v>
      </c>
      <c r="F69" s="199">
        <v>45017</v>
      </c>
      <c r="G69" s="200">
        <v>45017</v>
      </c>
      <c r="H69" s="201" t="s">
        <v>604</v>
      </c>
      <c r="J69" s="203" t="s">
        <v>449</v>
      </c>
      <c r="K69" s="204" t="s">
        <v>605</v>
      </c>
      <c r="L69" s="241">
        <v>617.1</v>
      </c>
      <c r="M69" s="215">
        <v>45030</v>
      </c>
      <c r="O69" s="5" t="s">
        <v>89</v>
      </c>
      <c r="P69" s="194" t="s">
        <v>907</v>
      </c>
      <c r="Q69" s="194" t="s">
        <v>938</v>
      </c>
    </row>
    <row r="70" spans="1:17" hidden="1" x14ac:dyDescent="0.3">
      <c r="A70" s="244">
        <v>69</v>
      </c>
      <c r="B70" s="196" t="s">
        <v>446</v>
      </c>
      <c r="C70" s="198" t="s">
        <v>606</v>
      </c>
      <c r="D70" s="196"/>
      <c r="E70" s="198" t="s">
        <v>546</v>
      </c>
      <c r="F70" s="199">
        <v>45016</v>
      </c>
      <c r="G70" s="200">
        <v>45016</v>
      </c>
      <c r="H70" s="201" t="s">
        <v>607</v>
      </c>
      <c r="J70" s="203" t="s">
        <v>449</v>
      </c>
      <c r="K70" s="204" t="s">
        <v>608</v>
      </c>
      <c r="L70" s="241">
        <v>90.75</v>
      </c>
      <c r="M70" s="215">
        <v>45030</v>
      </c>
      <c r="O70" s="194" t="s">
        <v>89</v>
      </c>
      <c r="Q70" s="194" t="s">
        <v>938</v>
      </c>
    </row>
    <row r="71" spans="1:17" hidden="1" x14ac:dyDescent="0.3">
      <c r="A71" s="244">
        <v>70</v>
      </c>
      <c r="B71" s="196" t="s">
        <v>446</v>
      </c>
      <c r="C71" s="197">
        <v>44995</v>
      </c>
      <c r="D71" s="196"/>
      <c r="E71" s="198" t="s">
        <v>609</v>
      </c>
      <c r="F71" s="199">
        <v>43920</v>
      </c>
      <c r="G71" s="200">
        <v>43920</v>
      </c>
      <c r="H71" s="201" t="s">
        <v>610</v>
      </c>
      <c r="J71" s="203" t="s">
        <v>611</v>
      </c>
      <c r="K71" s="204" t="s">
        <v>612</v>
      </c>
      <c r="L71" s="241">
        <v>8482.75</v>
      </c>
      <c r="M71" s="215">
        <v>45030</v>
      </c>
      <c r="O71" s="5" t="s">
        <v>142</v>
      </c>
      <c r="Q71" s="194" t="s">
        <v>938</v>
      </c>
    </row>
    <row r="72" spans="1:17" x14ac:dyDescent="0.3">
      <c r="A72" s="244">
        <v>71</v>
      </c>
      <c r="B72" s="196" t="s">
        <v>446</v>
      </c>
      <c r="C72" s="197">
        <v>45022</v>
      </c>
      <c r="D72" s="196"/>
      <c r="E72" s="198" t="s">
        <v>517</v>
      </c>
      <c r="F72" s="199">
        <v>45016</v>
      </c>
      <c r="G72" s="200">
        <v>45046</v>
      </c>
      <c r="H72" s="201" t="s">
        <v>613</v>
      </c>
      <c r="J72" s="203" t="s">
        <v>449</v>
      </c>
      <c r="K72" s="204" t="s">
        <v>614</v>
      </c>
      <c r="L72" s="241">
        <v>1137.4000000000001</v>
      </c>
      <c r="M72" s="215">
        <v>45043</v>
      </c>
      <c r="O72" s="5" t="s">
        <v>149</v>
      </c>
      <c r="Q72" s="194" t="s">
        <v>938</v>
      </c>
    </row>
    <row r="73" spans="1:17" hidden="1" x14ac:dyDescent="0.3">
      <c r="A73" s="244">
        <v>72</v>
      </c>
      <c r="B73" s="196" t="s">
        <v>446</v>
      </c>
      <c r="C73" s="197">
        <v>45022</v>
      </c>
      <c r="D73" s="196"/>
      <c r="E73" s="209" t="s">
        <v>451</v>
      </c>
      <c r="F73" s="199">
        <v>45013</v>
      </c>
      <c r="G73" s="200">
        <v>45043</v>
      </c>
      <c r="H73" s="201" t="s">
        <v>615</v>
      </c>
      <c r="J73" s="203" t="s">
        <v>449</v>
      </c>
      <c r="K73" s="204" t="s">
        <v>616</v>
      </c>
      <c r="L73" s="241">
        <v>2593.5500000000002</v>
      </c>
      <c r="M73" s="215">
        <v>45043</v>
      </c>
      <c r="O73" s="5" t="s">
        <v>144</v>
      </c>
      <c r="P73" s="194" t="s">
        <v>911</v>
      </c>
      <c r="Q73" s="194" t="s">
        <v>938</v>
      </c>
    </row>
    <row r="74" spans="1:17" hidden="1" x14ac:dyDescent="0.3">
      <c r="A74" s="244">
        <v>73</v>
      </c>
      <c r="B74" s="196" t="s">
        <v>446</v>
      </c>
      <c r="C74" s="197">
        <v>45023</v>
      </c>
      <c r="D74" s="196"/>
      <c r="E74" s="198" t="s">
        <v>447</v>
      </c>
      <c r="F74" s="199">
        <v>44959</v>
      </c>
      <c r="G74" s="200">
        <v>44959</v>
      </c>
      <c r="H74" s="201" t="s">
        <v>593</v>
      </c>
      <c r="J74" s="203" t="s">
        <v>449</v>
      </c>
      <c r="K74" s="204" t="s">
        <v>617</v>
      </c>
      <c r="L74" s="241">
        <v>53.71</v>
      </c>
      <c r="M74" s="203" t="s">
        <v>580</v>
      </c>
      <c r="O74" s="194" t="s">
        <v>901</v>
      </c>
      <c r="P74" s="194" t="s">
        <v>903</v>
      </c>
      <c r="Q74" s="194" t="s">
        <v>938</v>
      </c>
    </row>
    <row r="75" spans="1:17" hidden="1" x14ac:dyDescent="0.3">
      <c r="A75" s="244">
        <v>74</v>
      </c>
      <c r="B75" s="196" t="s">
        <v>446</v>
      </c>
      <c r="C75" s="197">
        <v>45023</v>
      </c>
      <c r="D75" s="196"/>
      <c r="E75" s="198" t="s">
        <v>618</v>
      </c>
      <c r="F75" s="199">
        <v>45023</v>
      </c>
      <c r="G75" s="200">
        <v>45023</v>
      </c>
      <c r="H75" s="201" t="s">
        <v>619</v>
      </c>
      <c r="J75" s="203" t="s">
        <v>449</v>
      </c>
      <c r="K75" s="204" t="s">
        <v>620</v>
      </c>
      <c r="L75" s="241">
        <v>287.98</v>
      </c>
      <c r="M75" s="215">
        <v>45043</v>
      </c>
      <c r="O75" s="194" t="s">
        <v>89</v>
      </c>
      <c r="Q75" s="194" t="s">
        <v>938</v>
      </c>
    </row>
    <row r="76" spans="1:17" hidden="1" x14ac:dyDescent="0.3">
      <c r="A76" s="244">
        <v>75</v>
      </c>
      <c r="B76" s="196" t="s">
        <v>446</v>
      </c>
      <c r="C76" s="197">
        <v>45028</v>
      </c>
      <c r="D76" s="196"/>
      <c r="E76" s="198" t="s">
        <v>447</v>
      </c>
      <c r="F76" s="199">
        <v>45022</v>
      </c>
      <c r="G76" s="200">
        <v>45022</v>
      </c>
      <c r="H76" s="201" t="s">
        <v>593</v>
      </c>
      <c r="J76" s="203" t="s">
        <v>449</v>
      </c>
      <c r="K76" s="204" t="s">
        <v>621</v>
      </c>
      <c r="L76" s="241">
        <v>53.71</v>
      </c>
      <c r="M76" s="215">
        <v>45043</v>
      </c>
      <c r="O76" s="194" t="s">
        <v>901</v>
      </c>
      <c r="P76" s="194" t="s">
        <v>903</v>
      </c>
      <c r="Q76" s="194" t="s">
        <v>938</v>
      </c>
    </row>
    <row r="77" spans="1:17" hidden="1" x14ac:dyDescent="0.3">
      <c r="A77" s="244">
        <v>76</v>
      </c>
      <c r="B77" s="196" t="s">
        <v>446</v>
      </c>
      <c r="C77" s="197">
        <v>45028</v>
      </c>
      <c r="D77" s="196"/>
      <c r="E77" s="198" t="s">
        <v>504</v>
      </c>
      <c r="F77" s="199">
        <v>45020</v>
      </c>
      <c r="G77" s="200">
        <v>45020</v>
      </c>
      <c r="H77" s="201" t="s">
        <v>622</v>
      </c>
      <c r="J77" s="203" t="s">
        <v>449</v>
      </c>
      <c r="K77" s="204" t="s">
        <v>623</v>
      </c>
      <c r="L77" s="241">
        <v>41.1</v>
      </c>
      <c r="M77" s="215">
        <v>45043</v>
      </c>
      <c r="O77" s="5" t="s">
        <v>75</v>
      </c>
      <c r="P77" s="194" t="s">
        <v>939</v>
      </c>
      <c r="Q77" s="194" t="s">
        <v>938</v>
      </c>
    </row>
    <row r="78" spans="1:17" hidden="1" x14ac:dyDescent="0.3">
      <c r="A78" s="244">
        <v>77</v>
      </c>
      <c r="B78" s="196" t="s">
        <v>446</v>
      </c>
      <c r="C78" s="197">
        <v>45030</v>
      </c>
      <c r="D78" s="196"/>
      <c r="E78" s="198" t="s">
        <v>624</v>
      </c>
      <c r="F78" s="199">
        <v>45030</v>
      </c>
      <c r="G78" s="200">
        <v>45030</v>
      </c>
      <c r="H78" s="201" t="s">
        <v>625</v>
      </c>
      <c r="J78" s="203" t="s">
        <v>449</v>
      </c>
      <c r="K78" s="204" t="s">
        <v>626</v>
      </c>
      <c r="L78" s="241">
        <v>61.98</v>
      </c>
      <c r="M78" s="203" t="s">
        <v>580</v>
      </c>
      <c r="O78" s="5" t="s">
        <v>87</v>
      </c>
      <c r="Q78" s="194" t="s">
        <v>917</v>
      </c>
    </row>
    <row r="79" spans="1:17" hidden="1" x14ac:dyDescent="0.3">
      <c r="A79" s="244">
        <v>78</v>
      </c>
      <c r="B79" s="196" t="s">
        <v>446</v>
      </c>
      <c r="C79" s="197">
        <v>45034</v>
      </c>
      <c r="D79" s="196"/>
      <c r="E79" s="198" t="s">
        <v>627</v>
      </c>
      <c r="F79" s="199">
        <v>45034</v>
      </c>
      <c r="G79" s="200">
        <v>45034</v>
      </c>
      <c r="H79" s="201" t="s">
        <v>628</v>
      </c>
      <c r="J79" s="203" t="s">
        <v>449</v>
      </c>
      <c r="K79" s="204" t="s">
        <v>629</v>
      </c>
      <c r="L79" s="241">
        <v>29.15</v>
      </c>
      <c r="M79" s="215">
        <v>45043</v>
      </c>
      <c r="O79" s="194" t="s">
        <v>900</v>
      </c>
      <c r="Q79" s="194" t="s">
        <v>938</v>
      </c>
    </row>
    <row r="80" spans="1:17" hidden="1" x14ac:dyDescent="0.3">
      <c r="A80" s="244">
        <v>79</v>
      </c>
      <c r="B80" s="196" t="s">
        <v>446</v>
      </c>
      <c r="C80" s="197">
        <v>45034</v>
      </c>
      <c r="D80" s="196"/>
      <c r="E80" s="198" t="s">
        <v>627</v>
      </c>
      <c r="F80" s="199">
        <v>45034</v>
      </c>
      <c r="G80" s="200">
        <v>45034</v>
      </c>
      <c r="H80" s="201" t="s">
        <v>630</v>
      </c>
      <c r="J80" s="203" t="s">
        <v>449</v>
      </c>
      <c r="K80" s="204" t="s">
        <v>629</v>
      </c>
      <c r="L80" s="241">
        <v>29.15</v>
      </c>
      <c r="M80" s="215">
        <v>45043</v>
      </c>
      <c r="O80" s="194" t="s">
        <v>900</v>
      </c>
      <c r="Q80" s="194" t="s">
        <v>938</v>
      </c>
    </row>
    <row r="81" spans="1:17" hidden="1" x14ac:dyDescent="0.3">
      <c r="A81" s="244">
        <v>80</v>
      </c>
      <c r="B81" s="196" t="s">
        <v>446</v>
      </c>
      <c r="C81" s="197">
        <v>45034</v>
      </c>
      <c r="D81" s="196"/>
      <c r="E81" s="198" t="s">
        <v>627</v>
      </c>
      <c r="F81" s="199">
        <v>45034</v>
      </c>
      <c r="G81" s="200">
        <v>45034</v>
      </c>
      <c r="H81" s="201" t="s">
        <v>631</v>
      </c>
      <c r="J81" s="203" t="s">
        <v>449</v>
      </c>
      <c r="K81" s="204" t="s">
        <v>629</v>
      </c>
      <c r="L81" s="241">
        <v>29.15</v>
      </c>
      <c r="M81" s="215">
        <v>45043</v>
      </c>
      <c r="O81" s="194" t="s">
        <v>900</v>
      </c>
      <c r="Q81" s="194" t="s">
        <v>938</v>
      </c>
    </row>
    <row r="82" spans="1:17" hidden="1" x14ac:dyDescent="0.3">
      <c r="A82" s="244">
        <v>81</v>
      </c>
      <c r="B82" s="196" t="s">
        <v>446</v>
      </c>
      <c r="C82" s="197">
        <v>45034</v>
      </c>
      <c r="D82" s="196"/>
      <c r="E82" s="198" t="s">
        <v>627</v>
      </c>
      <c r="F82" s="199">
        <v>45034</v>
      </c>
      <c r="G82" s="200">
        <v>45034</v>
      </c>
      <c r="H82" s="201" t="s">
        <v>632</v>
      </c>
      <c r="J82" s="203" t="s">
        <v>449</v>
      </c>
      <c r="K82" s="204" t="s">
        <v>629</v>
      </c>
      <c r="L82" s="241">
        <v>29.15</v>
      </c>
      <c r="M82" s="215">
        <v>45043</v>
      </c>
      <c r="O82" s="194" t="s">
        <v>900</v>
      </c>
      <c r="Q82" s="194" t="s">
        <v>938</v>
      </c>
    </row>
    <row r="83" spans="1:17" hidden="1" x14ac:dyDescent="0.3">
      <c r="A83" s="244">
        <v>82</v>
      </c>
      <c r="B83" s="196" t="s">
        <v>446</v>
      </c>
      <c r="C83" s="197">
        <v>45034</v>
      </c>
      <c r="D83" s="196"/>
      <c r="E83" s="198" t="s">
        <v>627</v>
      </c>
      <c r="F83" s="199">
        <v>45034</v>
      </c>
      <c r="G83" s="200">
        <v>45034</v>
      </c>
      <c r="H83" s="201" t="s">
        <v>633</v>
      </c>
      <c r="J83" s="203" t="s">
        <v>449</v>
      </c>
      <c r="K83" s="204" t="s">
        <v>629</v>
      </c>
      <c r="L83" s="241">
        <v>29.15</v>
      </c>
      <c r="M83" s="215">
        <v>45043</v>
      </c>
      <c r="O83" s="194" t="s">
        <v>900</v>
      </c>
      <c r="Q83" s="194" t="s">
        <v>938</v>
      </c>
    </row>
    <row r="84" spans="1:17" hidden="1" x14ac:dyDescent="0.3">
      <c r="A84" s="244">
        <v>83</v>
      </c>
      <c r="B84" s="196" t="s">
        <v>446</v>
      </c>
      <c r="C84" s="197">
        <v>45034</v>
      </c>
      <c r="D84" s="196"/>
      <c r="E84" s="198" t="s">
        <v>627</v>
      </c>
      <c r="F84" s="199">
        <v>45034</v>
      </c>
      <c r="G84" s="200">
        <v>45034</v>
      </c>
      <c r="H84" s="201" t="s">
        <v>634</v>
      </c>
      <c r="J84" s="203" t="s">
        <v>449</v>
      </c>
      <c r="K84" s="204" t="s">
        <v>629</v>
      </c>
      <c r="L84" s="241">
        <v>29.15</v>
      </c>
      <c r="M84" s="215">
        <v>45043</v>
      </c>
      <c r="O84" s="194" t="s">
        <v>900</v>
      </c>
      <c r="Q84" s="194" t="s">
        <v>938</v>
      </c>
    </row>
    <row r="85" spans="1:17" hidden="1" x14ac:dyDescent="0.3">
      <c r="A85" s="244">
        <v>84</v>
      </c>
      <c r="B85" s="196" t="s">
        <v>446</v>
      </c>
      <c r="C85" s="197">
        <v>45034</v>
      </c>
      <c r="D85" s="196"/>
      <c r="E85" s="209" t="s">
        <v>451</v>
      </c>
      <c r="F85" s="199">
        <v>45033</v>
      </c>
      <c r="G85" s="200">
        <v>45034</v>
      </c>
      <c r="H85" s="201" t="s">
        <v>635</v>
      </c>
      <c r="J85" s="203" t="s">
        <v>449</v>
      </c>
      <c r="K85" s="204" t="s">
        <v>636</v>
      </c>
      <c r="L85" s="241">
        <v>69242.92</v>
      </c>
      <c r="M85" s="203" t="s">
        <v>454</v>
      </c>
      <c r="O85" s="194" t="s">
        <v>901</v>
      </c>
      <c r="P85" s="194" t="s">
        <v>909</v>
      </c>
      <c r="Q85" s="194" t="s">
        <v>938</v>
      </c>
    </row>
    <row r="86" spans="1:17" hidden="1" x14ac:dyDescent="0.3">
      <c r="A86" s="244">
        <v>85</v>
      </c>
      <c r="B86" s="196" t="s">
        <v>446</v>
      </c>
      <c r="C86" s="197">
        <v>45034</v>
      </c>
      <c r="D86" s="196"/>
      <c r="E86" s="209" t="s">
        <v>451</v>
      </c>
      <c r="F86" s="199">
        <v>45033</v>
      </c>
      <c r="G86" s="200">
        <v>45034</v>
      </c>
      <c r="H86" s="201" t="s">
        <v>637</v>
      </c>
      <c r="J86" s="203" t="s">
        <v>449</v>
      </c>
      <c r="K86" s="204" t="s">
        <v>638</v>
      </c>
      <c r="L86" s="241">
        <v>66239.78</v>
      </c>
      <c r="M86" s="203" t="s">
        <v>454</v>
      </c>
      <c r="O86" s="194" t="s">
        <v>901</v>
      </c>
      <c r="P86" s="194" t="s">
        <v>909</v>
      </c>
      <c r="Q86" s="194" t="s">
        <v>938</v>
      </c>
    </row>
    <row r="87" spans="1:17" hidden="1" x14ac:dyDescent="0.3">
      <c r="A87" s="244">
        <v>86</v>
      </c>
      <c r="B87" s="196" t="s">
        <v>446</v>
      </c>
      <c r="C87" s="197">
        <v>45036</v>
      </c>
      <c r="D87" s="196"/>
      <c r="E87" s="198" t="s">
        <v>639</v>
      </c>
      <c r="F87" s="221">
        <v>45016</v>
      </c>
      <c r="G87" s="221">
        <v>45016</v>
      </c>
      <c r="H87" s="201" t="s">
        <v>640</v>
      </c>
      <c r="J87" s="203" t="s">
        <v>449</v>
      </c>
      <c r="K87" s="204" t="s">
        <v>641</v>
      </c>
      <c r="L87" s="241">
        <v>142.37</v>
      </c>
      <c r="M87" s="215">
        <v>45058</v>
      </c>
      <c r="O87" s="194" t="s">
        <v>55</v>
      </c>
      <c r="Q87" s="194" t="s">
        <v>938</v>
      </c>
    </row>
    <row r="88" spans="1:17" hidden="1" x14ac:dyDescent="0.3">
      <c r="A88" s="244">
        <v>87</v>
      </c>
      <c r="B88" s="196" t="s">
        <v>446</v>
      </c>
      <c r="C88" s="197">
        <v>45037</v>
      </c>
      <c r="D88" s="196"/>
      <c r="E88" s="198" t="s">
        <v>642</v>
      </c>
      <c r="F88" s="199">
        <v>45035</v>
      </c>
      <c r="G88" s="200">
        <v>45035</v>
      </c>
      <c r="H88" s="201" t="s">
        <v>643</v>
      </c>
      <c r="J88" s="203" t="s">
        <v>449</v>
      </c>
      <c r="K88" s="204" t="s">
        <v>644</v>
      </c>
      <c r="L88" s="241">
        <v>118.5</v>
      </c>
      <c r="M88" s="203" t="s">
        <v>454</v>
      </c>
      <c r="O88" s="5" t="s">
        <v>59</v>
      </c>
      <c r="Q88" s="194" t="s">
        <v>938</v>
      </c>
    </row>
    <row r="89" spans="1:17" hidden="1" x14ac:dyDescent="0.3">
      <c r="A89" s="244">
        <v>88</v>
      </c>
      <c r="B89" s="196" t="s">
        <v>446</v>
      </c>
      <c r="C89" s="197">
        <v>45042</v>
      </c>
      <c r="D89" s="196"/>
      <c r="E89" s="198" t="s">
        <v>35</v>
      </c>
      <c r="F89" s="199">
        <v>45042</v>
      </c>
      <c r="G89" s="200">
        <v>45072</v>
      </c>
      <c r="H89" s="201" t="s">
        <v>645</v>
      </c>
      <c r="J89" s="203" t="s">
        <v>449</v>
      </c>
      <c r="K89" s="204" t="s">
        <v>646</v>
      </c>
      <c r="L89" s="241">
        <v>169600</v>
      </c>
      <c r="M89" s="215">
        <v>45058</v>
      </c>
      <c r="O89" s="5" t="s">
        <v>35</v>
      </c>
      <c r="Q89" s="194" t="s">
        <v>938</v>
      </c>
    </row>
    <row r="90" spans="1:17" hidden="1" x14ac:dyDescent="0.3">
      <c r="A90" s="244">
        <v>89</v>
      </c>
      <c r="B90" s="196" t="s">
        <v>446</v>
      </c>
      <c r="C90" s="197">
        <v>45048</v>
      </c>
      <c r="D90" s="196"/>
      <c r="E90" s="198" t="s">
        <v>647</v>
      </c>
      <c r="F90" s="199">
        <v>45044</v>
      </c>
      <c r="G90" s="200">
        <v>45044</v>
      </c>
      <c r="H90" s="201" t="s">
        <v>648</v>
      </c>
      <c r="J90" s="203" t="s">
        <v>449</v>
      </c>
      <c r="K90" s="204" t="s">
        <v>649</v>
      </c>
      <c r="L90" s="241">
        <v>114.71</v>
      </c>
      <c r="M90" s="203" t="s">
        <v>454</v>
      </c>
      <c r="O90" s="194" t="s">
        <v>901</v>
      </c>
      <c r="P90" s="194" t="s">
        <v>905</v>
      </c>
      <c r="Q90" s="194" t="s">
        <v>938</v>
      </c>
    </row>
    <row r="91" spans="1:17" hidden="1" x14ac:dyDescent="0.3">
      <c r="A91" s="244">
        <v>90</v>
      </c>
      <c r="B91" s="196" t="s">
        <v>446</v>
      </c>
      <c r="C91" s="197">
        <v>45048</v>
      </c>
      <c r="D91" s="196"/>
      <c r="E91" s="198" t="s">
        <v>650</v>
      </c>
      <c r="F91" s="199">
        <v>45047</v>
      </c>
      <c r="G91" s="200">
        <v>45047</v>
      </c>
      <c r="H91" s="201" t="s">
        <v>651</v>
      </c>
      <c r="J91" s="203" t="s">
        <v>449</v>
      </c>
      <c r="K91" s="204" t="s">
        <v>652</v>
      </c>
      <c r="L91" s="241">
        <v>617.1</v>
      </c>
      <c r="M91" s="215">
        <v>45058</v>
      </c>
      <c r="O91" s="5" t="s">
        <v>89</v>
      </c>
      <c r="P91" s="194" t="s">
        <v>907</v>
      </c>
      <c r="Q91" s="194" t="s">
        <v>938</v>
      </c>
    </row>
    <row r="92" spans="1:17" hidden="1" x14ac:dyDescent="0.3">
      <c r="A92" s="244">
        <v>91</v>
      </c>
      <c r="B92" s="196" t="s">
        <v>446</v>
      </c>
      <c r="C92" s="197">
        <v>45048</v>
      </c>
      <c r="D92" s="196"/>
      <c r="E92" s="198" t="s">
        <v>653</v>
      </c>
      <c r="F92" s="199">
        <v>45047</v>
      </c>
      <c r="G92" s="200">
        <v>45047</v>
      </c>
      <c r="H92" s="201" t="s">
        <v>654</v>
      </c>
      <c r="J92" s="203" t="s">
        <v>655</v>
      </c>
      <c r="K92" s="204" t="s">
        <v>656</v>
      </c>
      <c r="L92" s="241">
        <v>307.91000000000003</v>
      </c>
      <c r="M92" s="215">
        <v>45058</v>
      </c>
      <c r="O92" s="178" t="s">
        <v>48</v>
      </c>
      <c r="Q92" s="194" t="s">
        <v>938</v>
      </c>
    </row>
    <row r="93" spans="1:17" hidden="1" x14ac:dyDescent="0.3">
      <c r="A93" s="244">
        <v>92</v>
      </c>
      <c r="B93" s="196" t="s">
        <v>446</v>
      </c>
      <c r="C93" s="197">
        <v>45048</v>
      </c>
      <c r="D93" s="196"/>
      <c r="E93" s="198" t="s">
        <v>657</v>
      </c>
      <c r="F93" s="199">
        <v>45044</v>
      </c>
      <c r="G93" s="200">
        <v>45013</v>
      </c>
      <c r="H93" s="201" t="s">
        <v>658</v>
      </c>
      <c r="J93" s="203" t="s">
        <v>449</v>
      </c>
      <c r="K93" s="204" t="s">
        <v>659</v>
      </c>
      <c r="L93" s="241">
        <v>89.54</v>
      </c>
      <c r="M93" s="203" t="s">
        <v>454</v>
      </c>
      <c r="N93" s="205" t="s">
        <v>539</v>
      </c>
      <c r="O93" s="194" t="s">
        <v>89</v>
      </c>
      <c r="P93" s="194" t="s">
        <v>906</v>
      </c>
      <c r="Q93" s="194" t="s">
        <v>938</v>
      </c>
    </row>
    <row r="94" spans="1:17" hidden="1" x14ac:dyDescent="0.3">
      <c r="A94" s="244">
        <v>93</v>
      </c>
      <c r="B94" s="196" t="s">
        <v>446</v>
      </c>
      <c r="C94" s="197">
        <v>45049</v>
      </c>
      <c r="D94" s="196"/>
      <c r="E94" s="198" t="s">
        <v>660</v>
      </c>
      <c r="F94" s="199">
        <v>45044</v>
      </c>
      <c r="G94" s="200">
        <v>45044</v>
      </c>
      <c r="H94" s="201" t="s">
        <v>661</v>
      </c>
      <c r="J94" s="203" t="s">
        <v>449</v>
      </c>
      <c r="K94" s="204" t="s">
        <v>662</v>
      </c>
      <c r="L94" s="241">
        <v>677.6</v>
      </c>
      <c r="M94" s="215">
        <v>45058</v>
      </c>
      <c r="Q94" s="194" t="s">
        <v>938</v>
      </c>
    </row>
    <row r="95" spans="1:17" hidden="1" x14ac:dyDescent="0.3">
      <c r="A95" s="244">
        <v>94</v>
      </c>
      <c r="B95" s="196" t="s">
        <v>446</v>
      </c>
      <c r="C95" s="197">
        <v>45063</v>
      </c>
      <c r="D95" s="196"/>
      <c r="E95" s="209" t="s">
        <v>451</v>
      </c>
      <c r="F95" s="199">
        <v>45055</v>
      </c>
      <c r="G95" s="200">
        <v>45055</v>
      </c>
      <c r="H95" s="201" t="s">
        <v>663</v>
      </c>
      <c r="J95" s="203" t="s">
        <v>449</v>
      </c>
      <c r="K95" s="204" t="s">
        <v>664</v>
      </c>
      <c r="L95" s="241">
        <v>128.1</v>
      </c>
      <c r="M95" s="203" t="s">
        <v>454</v>
      </c>
      <c r="O95" s="194" t="s">
        <v>901</v>
      </c>
      <c r="P95" s="194" t="s">
        <v>913</v>
      </c>
      <c r="Q95" s="194" t="s">
        <v>938</v>
      </c>
    </row>
    <row r="96" spans="1:17" hidden="1" x14ac:dyDescent="0.3">
      <c r="A96" s="244">
        <v>95</v>
      </c>
      <c r="B96" s="196" t="s">
        <v>446</v>
      </c>
      <c r="C96" s="197">
        <v>45063</v>
      </c>
      <c r="D96" s="196"/>
      <c r="E96" s="209" t="s">
        <v>451</v>
      </c>
      <c r="F96" s="199">
        <v>45042</v>
      </c>
      <c r="G96" s="200">
        <v>45042</v>
      </c>
      <c r="H96" s="201" t="s">
        <v>665</v>
      </c>
      <c r="J96" s="203" t="s">
        <v>449</v>
      </c>
      <c r="K96" s="204" t="s">
        <v>512</v>
      </c>
      <c r="L96" s="241">
        <v>332.23</v>
      </c>
      <c r="M96" s="203" t="s">
        <v>454</v>
      </c>
      <c r="O96" s="194" t="s">
        <v>901</v>
      </c>
      <c r="P96" s="194" t="s">
        <v>909</v>
      </c>
      <c r="Q96" s="194" t="s">
        <v>938</v>
      </c>
    </row>
    <row r="97" spans="1:17" hidden="1" x14ac:dyDescent="0.3">
      <c r="A97" s="244">
        <v>96</v>
      </c>
      <c r="B97" s="196" t="s">
        <v>446</v>
      </c>
      <c r="C97" s="197">
        <v>45063</v>
      </c>
      <c r="D97" s="196"/>
      <c r="E97" s="209" t="s">
        <v>451</v>
      </c>
      <c r="F97" s="199">
        <v>45046</v>
      </c>
      <c r="G97" s="200">
        <v>45046</v>
      </c>
      <c r="H97" s="201" t="s">
        <v>666</v>
      </c>
      <c r="J97" s="203" t="s">
        <v>449</v>
      </c>
      <c r="K97" s="204" t="s">
        <v>512</v>
      </c>
      <c r="L97" s="241">
        <v>1205.76</v>
      </c>
      <c r="M97" s="203" t="s">
        <v>454</v>
      </c>
      <c r="O97" s="194" t="s">
        <v>901</v>
      </c>
      <c r="P97" s="194" t="s">
        <v>910</v>
      </c>
      <c r="Q97" s="194" t="s">
        <v>938</v>
      </c>
    </row>
    <row r="98" spans="1:17" hidden="1" x14ac:dyDescent="0.3">
      <c r="A98" s="244">
        <v>97</v>
      </c>
      <c r="B98" s="196" t="s">
        <v>446</v>
      </c>
      <c r="C98" s="197">
        <v>45063</v>
      </c>
      <c r="D98" s="196"/>
      <c r="E98" s="209" t="s">
        <v>451</v>
      </c>
      <c r="F98" s="199">
        <v>45046</v>
      </c>
      <c r="G98" s="200">
        <v>45046</v>
      </c>
      <c r="H98" s="201" t="s">
        <v>667</v>
      </c>
      <c r="J98" s="203" t="s">
        <v>449</v>
      </c>
      <c r="K98" s="204" t="s">
        <v>510</v>
      </c>
      <c r="L98" s="241">
        <v>20.39</v>
      </c>
      <c r="M98" s="203" t="s">
        <v>454</v>
      </c>
      <c r="O98" s="5" t="s">
        <v>144</v>
      </c>
      <c r="Q98" s="194" t="s">
        <v>938</v>
      </c>
    </row>
    <row r="99" spans="1:17" hidden="1" x14ac:dyDescent="0.3">
      <c r="A99" s="244">
        <v>98</v>
      </c>
      <c r="B99" s="196" t="s">
        <v>446</v>
      </c>
      <c r="C99" s="197">
        <v>45063</v>
      </c>
      <c r="D99" s="196"/>
      <c r="E99" s="209" t="s">
        <v>451</v>
      </c>
      <c r="F99" s="199">
        <v>45016</v>
      </c>
      <c r="G99" s="200">
        <v>45016</v>
      </c>
      <c r="H99" s="201" t="s">
        <v>668</v>
      </c>
      <c r="J99" s="203" t="s">
        <v>449</v>
      </c>
      <c r="K99" s="204" t="s">
        <v>510</v>
      </c>
      <c r="L99" s="241">
        <v>20.39</v>
      </c>
      <c r="M99" s="203" t="s">
        <v>454</v>
      </c>
      <c r="O99" s="5" t="s">
        <v>144</v>
      </c>
      <c r="Q99" s="194" t="s">
        <v>938</v>
      </c>
    </row>
    <row r="100" spans="1:17" hidden="1" x14ac:dyDescent="0.3">
      <c r="A100" s="244">
        <v>99</v>
      </c>
      <c r="B100" s="196" t="s">
        <v>446</v>
      </c>
      <c r="C100" s="197">
        <v>45063</v>
      </c>
      <c r="D100" s="196"/>
      <c r="E100" s="209" t="s">
        <v>451</v>
      </c>
      <c r="F100" s="199">
        <v>45016</v>
      </c>
      <c r="G100" s="200">
        <v>45016</v>
      </c>
      <c r="H100" s="201" t="s">
        <v>669</v>
      </c>
      <c r="J100" s="203" t="s">
        <v>449</v>
      </c>
      <c r="K100" s="204" t="s">
        <v>512</v>
      </c>
      <c r="L100" s="241">
        <v>1205.76</v>
      </c>
      <c r="M100" s="203" t="s">
        <v>454</v>
      </c>
      <c r="O100" s="194" t="s">
        <v>901</v>
      </c>
      <c r="P100" s="194" t="s">
        <v>910</v>
      </c>
      <c r="Q100" s="194" t="s">
        <v>938</v>
      </c>
    </row>
    <row r="101" spans="1:17" hidden="1" x14ac:dyDescent="0.3">
      <c r="A101" s="244">
        <v>100</v>
      </c>
      <c r="B101" s="196" t="s">
        <v>446</v>
      </c>
      <c r="C101" s="197">
        <v>45050</v>
      </c>
      <c r="D101" s="196"/>
      <c r="E101" s="198" t="s">
        <v>513</v>
      </c>
      <c r="F101" s="199">
        <v>45049</v>
      </c>
      <c r="G101" s="200">
        <v>45049</v>
      </c>
      <c r="H101" s="201" t="s">
        <v>670</v>
      </c>
      <c r="J101" s="203" t="s">
        <v>449</v>
      </c>
      <c r="K101" s="204" t="s">
        <v>465</v>
      </c>
      <c r="L101" s="241">
        <v>27.83</v>
      </c>
      <c r="M101" s="203" t="s">
        <v>454</v>
      </c>
      <c r="O101" s="5" t="s">
        <v>64</v>
      </c>
      <c r="Q101" s="194" t="s">
        <v>938</v>
      </c>
    </row>
    <row r="102" spans="1:17" hidden="1" x14ac:dyDescent="0.3">
      <c r="A102" s="244">
        <v>101</v>
      </c>
      <c r="B102" s="196" t="s">
        <v>446</v>
      </c>
      <c r="C102" s="197">
        <v>45050</v>
      </c>
      <c r="D102" s="196"/>
      <c r="E102" s="198" t="s">
        <v>463</v>
      </c>
      <c r="F102" s="199">
        <v>45049</v>
      </c>
      <c r="G102" s="200">
        <v>45049</v>
      </c>
      <c r="H102" s="201" t="s">
        <v>671</v>
      </c>
      <c r="J102" s="203" t="s">
        <v>449</v>
      </c>
      <c r="K102" s="204" t="s">
        <v>672</v>
      </c>
      <c r="L102" s="241">
        <v>119.4</v>
      </c>
      <c r="M102" s="203" t="s">
        <v>580</v>
      </c>
      <c r="N102" s="222">
        <v>45051</v>
      </c>
      <c r="O102" s="5" t="s">
        <v>64</v>
      </c>
      <c r="Q102" s="194" t="s">
        <v>938</v>
      </c>
    </row>
    <row r="103" spans="1:17" x14ac:dyDescent="0.3">
      <c r="A103" s="244">
        <v>102</v>
      </c>
      <c r="B103" s="196" t="s">
        <v>446</v>
      </c>
      <c r="C103" s="197">
        <v>45050</v>
      </c>
      <c r="D103" s="196"/>
      <c r="E103" s="198" t="s">
        <v>517</v>
      </c>
      <c r="F103" s="199">
        <v>45046</v>
      </c>
      <c r="G103" s="200">
        <v>45076</v>
      </c>
      <c r="H103" s="201" t="s">
        <v>673</v>
      </c>
      <c r="J103" s="203" t="s">
        <v>449</v>
      </c>
      <c r="K103" s="204" t="s">
        <v>674</v>
      </c>
      <c r="L103" s="241">
        <v>1137.4000000000001</v>
      </c>
      <c r="M103" s="215">
        <v>45086</v>
      </c>
      <c r="O103" s="5" t="s">
        <v>149</v>
      </c>
      <c r="Q103" s="194" t="s">
        <v>938</v>
      </c>
    </row>
    <row r="104" spans="1:17" hidden="1" x14ac:dyDescent="0.3">
      <c r="A104" s="244">
        <v>103</v>
      </c>
      <c r="B104" s="196" t="s">
        <v>446</v>
      </c>
      <c r="C104" s="197">
        <v>45058</v>
      </c>
      <c r="D104" s="196"/>
      <c r="E104" s="198" t="s">
        <v>675</v>
      </c>
      <c r="F104" s="199">
        <v>45058</v>
      </c>
      <c r="G104" s="200">
        <v>45058</v>
      </c>
      <c r="H104" s="201" t="s">
        <v>676</v>
      </c>
      <c r="J104" s="203" t="s">
        <v>449</v>
      </c>
      <c r="K104" s="204" t="s">
        <v>677</v>
      </c>
      <c r="L104" s="241">
        <v>1265.1199999999999</v>
      </c>
      <c r="M104" s="215">
        <v>45086</v>
      </c>
      <c r="O104" s="5" t="s">
        <v>34</v>
      </c>
      <c r="Q104" s="194" t="s">
        <v>938</v>
      </c>
    </row>
    <row r="105" spans="1:17" hidden="1" x14ac:dyDescent="0.3">
      <c r="A105" s="244">
        <v>104</v>
      </c>
      <c r="B105" s="196" t="s">
        <v>446</v>
      </c>
      <c r="C105" s="197">
        <v>45061</v>
      </c>
      <c r="D105" s="196"/>
      <c r="E105" s="198" t="s">
        <v>552</v>
      </c>
      <c r="F105" s="199">
        <v>45061</v>
      </c>
      <c r="G105" s="200">
        <v>45069</v>
      </c>
      <c r="H105" s="201" t="s">
        <v>678</v>
      </c>
      <c r="J105" s="203" t="s">
        <v>611</v>
      </c>
      <c r="K105" s="204" t="s">
        <v>679</v>
      </c>
      <c r="L105" s="241">
        <v>53.15</v>
      </c>
      <c r="M105" s="215">
        <v>45086</v>
      </c>
      <c r="O105" s="5" t="s">
        <v>55</v>
      </c>
      <c r="P105" s="194" t="s">
        <v>908</v>
      </c>
      <c r="Q105" s="194" t="s">
        <v>938</v>
      </c>
    </row>
    <row r="106" spans="1:17" hidden="1" x14ac:dyDescent="0.3">
      <c r="A106" s="244">
        <v>105</v>
      </c>
      <c r="B106" s="196" t="s">
        <v>446</v>
      </c>
      <c r="C106" s="197">
        <v>45068</v>
      </c>
      <c r="D106" s="196"/>
      <c r="E106" s="198" t="s">
        <v>447</v>
      </c>
      <c r="F106" s="199">
        <v>45056</v>
      </c>
      <c r="G106" s="200">
        <v>45056</v>
      </c>
      <c r="H106" s="201" t="s">
        <v>680</v>
      </c>
      <c r="J106" s="203" t="s">
        <v>449</v>
      </c>
      <c r="K106" s="204" t="s">
        <v>681</v>
      </c>
      <c r="L106" s="241">
        <v>53.71</v>
      </c>
      <c r="M106" s="215">
        <v>45086</v>
      </c>
      <c r="O106" s="194" t="s">
        <v>901</v>
      </c>
      <c r="P106" s="194" t="s">
        <v>903</v>
      </c>
      <c r="Q106" s="194" t="s">
        <v>938</v>
      </c>
    </row>
    <row r="107" spans="1:17" hidden="1" x14ac:dyDescent="0.3">
      <c r="A107" s="244">
        <v>106</v>
      </c>
      <c r="B107" s="196" t="s">
        <v>446</v>
      </c>
      <c r="C107" s="197">
        <v>45069</v>
      </c>
      <c r="D107" s="196"/>
      <c r="E107" s="198" t="s">
        <v>479</v>
      </c>
      <c r="F107" s="199">
        <v>45066</v>
      </c>
      <c r="G107" s="200">
        <v>45066</v>
      </c>
      <c r="H107" s="201" t="s">
        <v>682</v>
      </c>
      <c r="J107" s="203" t="s">
        <v>449</v>
      </c>
      <c r="K107" s="204" t="s">
        <v>683</v>
      </c>
      <c r="L107" s="241">
        <v>118.5</v>
      </c>
      <c r="M107" s="203" t="s">
        <v>454</v>
      </c>
      <c r="O107" s="5" t="s">
        <v>59</v>
      </c>
      <c r="Q107" s="194" t="s">
        <v>938</v>
      </c>
    </row>
    <row r="108" spans="1:17" hidden="1" x14ac:dyDescent="0.3">
      <c r="A108" s="244">
        <v>107</v>
      </c>
      <c r="B108" s="196" t="s">
        <v>446</v>
      </c>
      <c r="C108" s="197">
        <v>45019</v>
      </c>
      <c r="D108" s="196"/>
      <c r="E108" s="198" t="s">
        <v>684</v>
      </c>
      <c r="F108" s="199">
        <v>44911</v>
      </c>
      <c r="G108" s="200">
        <v>44911</v>
      </c>
      <c r="H108" s="201" t="s">
        <v>685</v>
      </c>
      <c r="J108" s="203" t="s">
        <v>449</v>
      </c>
      <c r="K108" s="204" t="s">
        <v>686</v>
      </c>
      <c r="L108" s="241">
        <v>975</v>
      </c>
      <c r="M108" s="203" t="s">
        <v>580</v>
      </c>
      <c r="N108" s="205" t="s">
        <v>687</v>
      </c>
      <c r="O108" s="194" t="s">
        <v>901</v>
      </c>
      <c r="Q108" s="194" t="s">
        <v>938</v>
      </c>
    </row>
    <row r="109" spans="1:17" hidden="1" x14ac:dyDescent="0.3">
      <c r="A109" s="244">
        <v>108</v>
      </c>
      <c r="B109" s="196" t="s">
        <v>446</v>
      </c>
      <c r="C109" s="197">
        <v>45077</v>
      </c>
      <c r="D109" s="196"/>
      <c r="E109" s="198" t="s">
        <v>657</v>
      </c>
      <c r="F109" s="199">
        <v>45074</v>
      </c>
      <c r="G109" s="200">
        <v>45074</v>
      </c>
      <c r="H109" s="201" t="s">
        <v>688</v>
      </c>
      <c r="J109" s="203" t="s">
        <v>449</v>
      </c>
      <c r="K109" s="204" t="s">
        <v>689</v>
      </c>
      <c r="L109" s="241">
        <v>89.54</v>
      </c>
      <c r="M109" s="203" t="s">
        <v>454</v>
      </c>
      <c r="N109" s="205" t="s">
        <v>539</v>
      </c>
      <c r="O109" s="194" t="s">
        <v>89</v>
      </c>
      <c r="P109" s="194" t="s">
        <v>906</v>
      </c>
      <c r="Q109" s="194" t="s">
        <v>938</v>
      </c>
    </row>
    <row r="110" spans="1:17" hidden="1" x14ac:dyDescent="0.3">
      <c r="A110" s="244">
        <v>109</v>
      </c>
      <c r="B110" s="196" t="s">
        <v>446</v>
      </c>
      <c r="C110" s="197">
        <v>45077</v>
      </c>
      <c r="D110" s="196"/>
      <c r="E110" s="198" t="s">
        <v>471</v>
      </c>
      <c r="F110" s="220" t="s">
        <v>690</v>
      </c>
      <c r="G110" s="200">
        <v>45077</v>
      </c>
      <c r="H110" s="201" t="s">
        <v>691</v>
      </c>
      <c r="J110" s="203" t="s">
        <v>449</v>
      </c>
      <c r="K110" s="204" t="s">
        <v>692</v>
      </c>
      <c r="L110" s="241">
        <v>493.18</v>
      </c>
      <c r="M110" s="215">
        <v>45086</v>
      </c>
      <c r="O110" s="5" t="s">
        <v>10</v>
      </c>
      <c r="Q110" s="194" t="s">
        <v>938</v>
      </c>
    </row>
    <row r="111" spans="1:17" hidden="1" x14ac:dyDescent="0.3">
      <c r="A111" s="244">
        <v>110</v>
      </c>
      <c r="B111" s="196" t="s">
        <v>446</v>
      </c>
      <c r="C111" s="197">
        <v>45077</v>
      </c>
      <c r="D111" s="196"/>
      <c r="E111" s="209" t="s">
        <v>451</v>
      </c>
      <c r="F111" s="199">
        <v>45063</v>
      </c>
      <c r="G111" s="200">
        <v>45063</v>
      </c>
      <c r="H111" s="201" t="s">
        <v>693</v>
      </c>
      <c r="J111" s="203" t="s">
        <v>449</v>
      </c>
      <c r="K111" s="204" t="s">
        <v>694</v>
      </c>
      <c r="L111" s="241">
        <v>69242.92</v>
      </c>
      <c r="M111" s="203" t="s">
        <v>454</v>
      </c>
      <c r="O111" s="194" t="s">
        <v>901</v>
      </c>
      <c r="P111" s="194" t="s">
        <v>909</v>
      </c>
      <c r="Q111" s="194" t="s">
        <v>938</v>
      </c>
    </row>
    <row r="112" spans="1:17" hidden="1" x14ac:dyDescent="0.3">
      <c r="A112" s="244">
        <v>111</v>
      </c>
      <c r="B112" s="196" t="s">
        <v>446</v>
      </c>
      <c r="C112" s="197">
        <v>45077</v>
      </c>
      <c r="D112" s="196"/>
      <c r="E112" s="198" t="s">
        <v>647</v>
      </c>
      <c r="F112" s="199">
        <v>45077</v>
      </c>
      <c r="G112" s="200">
        <v>45077</v>
      </c>
      <c r="H112" s="201" t="s">
        <v>695</v>
      </c>
      <c r="J112" s="203" t="s">
        <v>449</v>
      </c>
      <c r="K112" s="204" t="s">
        <v>696</v>
      </c>
      <c r="L112" s="241">
        <v>163.87</v>
      </c>
      <c r="M112" s="203" t="s">
        <v>454</v>
      </c>
      <c r="O112" s="194" t="s">
        <v>901</v>
      </c>
      <c r="P112" s="194" t="s">
        <v>905</v>
      </c>
      <c r="Q112" s="194" t="s">
        <v>938</v>
      </c>
    </row>
    <row r="113" spans="1:17" hidden="1" x14ac:dyDescent="0.3">
      <c r="A113" s="244">
        <v>112</v>
      </c>
      <c r="B113" s="196" t="s">
        <v>446</v>
      </c>
      <c r="C113" s="197">
        <v>45078</v>
      </c>
      <c r="D113" s="196"/>
      <c r="E113" s="198" t="s">
        <v>675</v>
      </c>
      <c r="F113" s="199">
        <v>45078</v>
      </c>
      <c r="G113" s="200">
        <v>45078</v>
      </c>
      <c r="H113" s="201" t="s">
        <v>697</v>
      </c>
      <c r="J113" s="203" t="s">
        <v>449</v>
      </c>
      <c r="K113" s="204" t="s">
        <v>698</v>
      </c>
      <c r="L113" s="241">
        <v>307.91000000000003</v>
      </c>
      <c r="M113" s="215">
        <v>45086</v>
      </c>
      <c r="O113" s="178" t="s">
        <v>48</v>
      </c>
      <c r="Q113" s="194" t="s">
        <v>938</v>
      </c>
    </row>
    <row r="114" spans="1:17" hidden="1" x14ac:dyDescent="0.3">
      <c r="A114" s="244">
        <v>113</v>
      </c>
      <c r="B114" s="196" t="s">
        <v>446</v>
      </c>
      <c r="C114" s="197">
        <v>45078</v>
      </c>
      <c r="D114" s="196"/>
      <c r="E114" s="198" t="s">
        <v>699</v>
      </c>
      <c r="F114" s="199">
        <v>45077</v>
      </c>
      <c r="G114" s="200">
        <v>45077</v>
      </c>
      <c r="H114" s="201" t="s">
        <v>700</v>
      </c>
      <c r="J114" s="203" t="s">
        <v>449</v>
      </c>
      <c r="K114" s="204" t="s">
        <v>701</v>
      </c>
      <c r="L114" s="241">
        <v>16940</v>
      </c>
      <c r="M114" s="215">
        <v>45086</v>
      </c>
      <c r="O114" s="5" t="s">
        <v>156</v>
      </c>
      <c r="Q114" s="194" t="s">
        <v>938</v>
      </c>
    </row>
    <row r="115" spans="1:17" hidden="1" x14ac:dyDescent="0.3">
      <c r="A115" s="244">
        <v>114</v>
      </c>
      <c r="B115" s="196" t="s">
        <v>446</v>
      </c>
      <c r="C115" s="197">
        <v>45078</v>
      </c>
      <c r="D115" s="196"/>
      <c r="E115" s="198" t="s">
        <v>468</v>
      </c>
      <c r="F115" s="199">
        <v>45078</v>
      </c>
      <c r="G115" s="200">
        <v>45078</v>
      </c>
      <c r="H115" s="201" t="s">
        <v>702</v>
      </c>
      <c r="J115" s="203" t="s">
        <v>449</v>
      </c>
      <c r="K115" s="204" t="s">
        <v>703</v>
      </c>
      <c r="L115" s="241">
        <v>617.1</v>
      </c>
      <c r="M115" s="215">
        <v>45086</v>
      </c>
      <c r="O115" s="5" t="s">
        <v>89</v>
      </c>
      <c r="P115" s="194" t="s">
        <v>907</v>
      </c>
      <c r="Q115" s="194" t="s">
        <v>938</v>
      </c>
    </row>
    <row r="116" spans="1:17" x14ac:dyDescent="0.3">
      <c r="A116" s="244">
        <v>115</v>
      </c>
      <c r="B116" s="196" t="s">
        <v>446</v>
      </c>
      <c r="C116" s="197">
        <v>45091</v>
      </c>
      <c r="D116" s="196"/>
      <c r="E116" s="198" t="s">
        <v>517</v>
      </c>
      <c r="F116" s="199">
        <v>45016</v>
      </c>
      <c r="G116" s="200">
        <v>45046</v>
      </c>
      <c r="H116" s="201" t="s">
        <v>704</v>
      </c>
      <c r="J116" s="203" t="s">
        <v>449</v>
      </c>
      <c r="K116" s="204" t="s">
        <v>705</v>
      </c>
      <c r="L116" s="241">
        <v>2274.8000000000002</v>
      </c>
      <c r="M116" s="215">
        <v>45100</v>
      </c>
      <c r="O116" s="5" t="s">
        <v>149</v>
      </c>
      <c r="Q116" s="194" t="s">
        <v>938</v>
      </c>
    </row>
    <row r="117" spans="1:17" hidden="1" x14ac:dyDescent="0.3">
      <c r="A117" s="244">
        <v>116</v>
      </c>
      <c r="B117" s="196" t="s">
        <v>446</v>
      </c>
      <c r="C117" s="197">
        <v>45083</v>
      </c>
      <c r="D117" s="196"/>
      <c r="E117" s="198" t="s">
        <v>706</v>
      </c>
      <c r="F117" s="199">
        <v>45083</v>
      </c>
      <c r="G117" s="200">
        <v>45083</v>
      </c>
      <c r="H117" s="201" t="s">
        <v>707</v>
      </c>
      <c r="J117" s="203" t="s">
        <v>449</v>
      </c>
      <c r="K117" s="204" t="s">
        <v>708</v>
      </c>
      <c r="L117" s="241">
        <v>890</v>
      </c>
      <c r="M117" s="215">
        <v>45100</v>
      </c>
      <c r="O117" s="178" t="s">
        <v>48</v>
      </c>
      <c r="Q117" s="194" t="s">
        <v>938</v>
      </c>
    </row>
    <row r="118" spans="1:17" hidden="1" x14ac:dyDescent="0.3">
      <c r="A118" s="244">
        <v>117</v>
      </c>
      <c r="B118" s="196" t="s">
        <v>446</v>
      </c>
      <c r="C118" s="197">
        <v>45083</v>
      </c>
      <c r="D118" s="196"/>
      <c r="E118" s="198" t="s">
        <v>458</v>
      </c>
      <c r="F118" s="199">
        <v>45083</v>
      </c>
      <c r="G118" s="200">
        <v>45083</v>
      </c>
      <c r="H118" s="201" t="s">
        <v>709</v>
      </c>
      <c r="J118" s="203" t="s">
        <v>449</v>
      </c>
      <c r="K118" s="204" t="s">
        <v>710</v>
      </c>
      <c r="L118" s="241">
        <v>2327.7399999999998</v>
      </c>
      <c r="M118" s="215">
        <v>45100</v>
      </c>
      <c r="O118" s="178" t="s">
        <v>48</v>
      </c>
      <c r="Q118" s="194" t="s">
        <v>938</v>
      </c>
    </row>
    <row r="119" spans="1:17" hidden="1" x14ac:dyDescent="0.3">
      <c r="A119" s="244">
        <v>118</v>
      </c>
      <c r="B119" s="196" t="s">
        <v>446</v>
      </c>
      <c r="C119" s="197">
        <v>45083</v>
      </c>
      <c r="D119" s="196"/>
      <c r="E119" s="198" t="s">
        <v>458</v>
      </c>
      <c r="F119" s="199">
        <v>45083</v>
      </c>
      <c r="G119" s="200">
        <v>45083</v>
      </c>
      <c r="H119" s="201" t="s">
        <v>711</v>
      </c>
      <c r="J119" s="203" t="s">
        <v>449</v>
      </c>
      <c r="K119" s="204" t="s">
        <v>712</v>
      </c>
      <c r="L119" s="241">
        <v>2327.7399999999998</v>
      </c>
      <c r="M119" s="215">
        <v>45100</v>
      </c>
      <c r="O119" s="178" t="s">
        <v>48</v>
      </c>
      <c r="Q119" s="194" t="s">
        <v>938</v>
      </c>
    </row>
    <row r="120" spans="1:17" hidden="1" x14ac:dyDescent="0.3">
      <c r="A120" s="244">
        <v>119</v>
      </c>
      <c r="B120" s="196" t="s">
        <v>446</v>
      </c>
      <c r="C120" s="197">
        <v>45083</v>
      </c>
      <c r="D120" s="196"/>
      <c r="E120" s="198" t="s">
        <v>706</v>
      </c>
      <c r="F120" s="199">
        <v>45083</v>
      </c>
      <c r="G120" s="200">
        <v>45083</v>
      </c>
      <c r="H120" s="201" t="s">
        <v>713</v>
      </c>
      <c r="J120" s="203" t="s">
        <v>449</v>
      </c>
      <c r="K120" s="204" t="s">
        <v>714</v>
      </c>
      <c r="L120" s="241">
        <v>445</v>
      </c>
      <c r="M120" s="215">
        <v>45100</v>
      </c>
      <c r="O120" s="178" t="s">
        <v>48</v>
      </c>
      <c r="Q120" s="194" t="s">
        <v>938</v>
      </c>
    </row>
    <row r="121" spans="1:17" hidden="1" x14ac:dyDescent="0.3">
      <c r="A121" s="244">
        <v>120</v>
      </c>
      <c r="B121" s="196" t="s">
        <v>446</v>
      </c>
      <c r="C121" s="197">
        <v>45083</v>
      </c>
      <c r="D121" s="196"/>
      <c r="E121" s="198" t="s">
        <v>458</v>
      </c>
      <c r="F121" s="199">
        <v>45083</v>
      </c>
      <c r="G121" s="200">
        <v>45083</v>
      </c>
      <c r="H121" s="201" t="s">
        <v>715</v>
      </c>
      <c r="J121" s="203" t="s">
        <v>449</v>
      </c>
      <c r="K121" s="204" t="s">
        <v>716</v>
      </c>
      <c r="L121" s="241">
        <v>2327.7399999999998</v>
      </c>
      <c r="M121" s="215">
        <v>45100</v>
      </c>
      <c r="O121" s="178" t="s">
        <v>48</v>
      </c>
      <c r="Q121" s="194" t="s">
        <v>938</v>
      </c>
    </row>
    <row r="122" spans="1:17" hidden="1" x14ac:dyDescent="0.3">
      <c r="A122" s="244">
        <v>121</v>
      </c>
      <c r="B122" s="196" t="s">
        <v>446</v>
      </c>
      <c r="C122" s="197">
        <v>45084</v>
      </c>
      <c r="D122" s="196"/>
      <c r="E122" s="198" t="s">
        <v>562</v>
      </c>
      <c r="F122" s="199">
        <v>45079</v>
      </c>
      <c r="G122" s="200">
        <v>45079</v>
      </c>
      <c r="H122" s="201" t="s">
        <v>717</v>
      </c>
      <c r="J122" s="203" t="s">
        <v>449</v>
      </c>
      <c r="K122" s="204" t="s">
        <v>718</v>
      </c>
      <c r="L122" s="241">
        <v>371.57</v>
      </c>
      <c r="M122" s="215">
        <v>45100</v>
      </c>
      <c r="O122" s="5" t="s">
        <v>73</v>
      </c>
      <c r="Q122" s="194" t="s">
        <v>938</v>
      </c>
    </row>
    <row r="123" spans="1:17" hidden="1" x14ac:dyDescent="0.3">
      <c r="A123" s="244">
        <v>122</v>
      </c>
      <c r="B123" s="196" t="s">
        <v>446</v>
      </c>
      <c r="C123" s="197">
        <v>45080</v>
      </c>
      <c r="D123" s="196"/>
      <c r="E123" s="198" t="s">
        <v>513</v>
      </c>
      <c r="F123" s="199">
        <v>45080</v>
      </c>
      <c r="G123" s="200">
        <v>45080</v>
      </c>
      <c r="H123" s="201" t="s">
        <v>719</v>
      </c>
      <c r="J123" s="203" t="s">
        <v>449</v>
      </c>
      <c r="K123" s="204" t="s">
        <v>465</v>
      </c>
      <c r="L123" s="241">
        <v>27.83</v>
      </c>
      <c r="M123" s="203" t="s">
        <v>454</v>
      </c>
      <c r="O123" s="5" t="s">
        <v>64</v>
      </c>
      <c r="Q123" s="194" t="s">
        <v>938</v>
      </c>
    </row>
    <row r="124" spans="1:17" hidden="1" x14ac:dyDescent="0.3">
      <c r="A124" s="244">
        <v>123</v>
      </c>
      <c r="B124" s="196" t="s">
        <v>446</v>
      </c>
      <c r="C124" s="197">
        <v>45085</v>
      </c>
      <c r="D124" s="196"/>
      <c r="E124" s="198" t="s">
        <v>513</v>
      </c>
      <c r="F124" s="199">
        <v>45080</v>
      </c>
      <c r="G124" s="200">
        <v>45095</v>
      </c>
      <c r="H124" s="201" t="s">
        <v>720</v>
      </c>
      <c r="J124" s="203" t="s">
        <v>449</v>
      </c>
      <c r="K124" s="204" t="s">
        <v>721</v>
      </c>
      <c r="L124" s="241">
        <v>81.849999999999994</v>
      </c>
      <c r="M124" s="203" t="s">
        <v>580</v>
      </c>
      <c r="N124" s="222">
        <v>45092</v>
      </c>
      <c r="O124" s="5" t="s">
        <v>64</v>
      </c>
      <c r="Q124" s="194" t="s">
        <v>938</v>
      </c>
    </row>
    <row r="125" spans="1:17" x14ac:dyDescent="0.3">
      <c r="A125" s="244">
        <v>124</v>
      </c>
      <c r="B125" s="196" t="s">
        <v>446</v>
      </c>
      <c r="C125" s="197">
        <v>45086</v>
      </c>
      <c r="D125" s="196"/>
      <c r="E125" s="198" t="s">
        <v>517</v>
      </c>
      <c r="F125" s="199">
        <v>45077</v>
      </c>
      <c r="G125" s="200">
        <v>45107</v>
      </c>
      <c r="H125" s="201" t="s">
        <v>722</v>
      </c>
      <c r="J125" s="203" t="s">
        <v>449</v>
      </c>
      <c r="K125" s="204" t="s">
        <v>723</v>
      </c>
      <c r="L125" s="241">
        <v>992.2</v>
      </c>
      <c r="M125" s="215">
        <v>45100</v>
      </c>
      <c r="O125" s="5" t="s">
        <v>149</v>
      </c>
      <c r="Q125" s="194" t="s">
        <v>938</v>
      </c>
    </row>
    <row r="126" spans="1:17" hidden="1" x14ac:dyDescent="0.3">
      <c r="A126" s="244">
        <v>125</v>
      </c>
      <c r="B126" s="196" t="s">
        <v>446</v>
      </c>
      <c r="C126" s="197">
        <v>45089</v>
      </c>
      <c r="D126" s="196"/>
      <c r="E126" s="198" t="s">
        <v>471</v>
      </c>
      <c r="F126" s="199">
        <v>45046</v>
      </c>
      <c r="G126" s="200">
        <v>45046</v>
      </c>
      <c r="H126" s="201" t="s">
        <v>724</v>
      </c>
      <c r="J126" s="203" t="s">
        <v>449</v>
      </c>
      <c r="K126" s="204" t="s">
        <v>725</v>
      </c>
      <c r="L126" s="241">
        <v>642.07000000000005</v>
      </c>
      <c r="M126" s="203" t="s">
        <v>580</v>
      </c>
      <c r="O126" s="5" t="s">
        <v>10</v>
      </c>
      <c r="Q126" s="194" t="s">
        <v>938</v>
      </c>
    </row>
    <row r="127" spans="1:17" x14ac:dyDescent="0.3">
      <c r="A127" s="244">
        <v>126</v>
      </c>
      <c r="B127" s="196" t="s">
        <v>446</v>
      </c>
      <c r="C127" s="197">
        <v>45091</v>
      </c>
      <c r="D127" s="196"/>
      <c r="E127" s="198" t="s">
        <v>517</v>
      </c>
      <c r="F127" s="199">
        <v>45077</v>
      </c>
      <c r="G127" s="200">
        <v>45107</v>
      </c>
      <c r="H127" s="201" t="s">
        <v>726</v>
      </c>
      <c r="J127" s="203" t="s">
        <v>449</v>
      </c>
      <c r="K127" s="204" t="s">
        <v>727</v>
      </c>
      <c r="L127" s="241">
        <v>1421.75</v>
      </c>
      <c r="M127" s="215">
        <v>45100</v>
      </c>
      <c r="O127" s="5" t="s">
        <v>149</v>
      </c>
      <c r="Q127" s="194" t="s">
        <v>938</v>
      </c>
    </row>
    <row r="128" spans="1:17" hidden="1" x14ac:dyDescent="0.3">
      <c r="A128" s="244">
        <v>127</v>
      </c>
      <c r="B128" s="196" t="s">
        <v>446</v>
      </c>
      <c r="C128" s="197">
        <v>45096</v>
      </c>
      <c r="D128" s="196"/>
      <c r="E128" s="198" t="s">
        <v>639</v>
      </c>
      <c r="F128" s="199">
        <v>45077</v>
      </c>
      <c r="G128" s="200">
        <v>45077</v>
      </c>
      <c r="H128" s="201" t="s">
        <v>728</v>
      </c>
      <c r="J128" s="203" t="s">
        <v>449</v>
      </c>
      <c r="K128" s="204" t="s">
        <v>729</v>
      </c>
      <c r="L128" s="241">
        <v>71.180000000000007</v>
      </c>
      <c r="M128" s="215">
        <v>45107</v>
      </c>
      <c r="O128" s="194" t="s">
        <v>55</v>
      </c>
      <c r="Q128" s="194" t="s">
        <v>938</v>
      </c>
    </row>
    <row r="129" spans="1:17" hidden="1" x14ac:dyDescent="0.3">
      <c r="A129" s="244">
        <v>128</v>
      </c>
      <c r="B129" s="196" t="s">
        <v>446</v>
      </c>
      <c r="C129" s="197">
        <v>45096</v>
      </c>
      <c r="D129" s="196"/>
      <c r="E129" s="198" t="s">
        <v>501</v>
      </c>
      <c r="F129" s="199">
        <v>45080</v>
      </c>
      <c r="G129" s="200">
        <v>45080</v>
      </c>
      <c r="H129" s="201" t="s">
        <v>730</v>
      </c>
      <c r="J129" s="203" t="s">
        <v>449</v>
      </c>
      <c r="K129" s="204" t="s">
        <v>731</v>
      </c>
      <c r="L129" s="241">
        <v>71.959999999999994</v>
      </c>
      <c r="M129" s="215">
        <v>45107</v>
      </c>
      <c r="O129" s="5" t="s">
        <v>10</v>
      </c>
      <c r="Q129" s="194" t="s">
        <v>938</v>
      </c>
    </row>
    <row r="130" spans="1:17" hidden="1" x14ac:dyDescent="0.3">
      <c r="A130" s="244">
        <v>129</v>
      </c>
      <c r="B130" s="196" t="s">
        <v>446</v>
      </c>
      <c r="C130" s="197">
        <v>45099</v>
      </c>
      <c r="D130" s="196"/>
      <c r="E130" s="209" t="s">
        <v>451</v>
      </c>
      <c r="F130" s="199">
        <v>45077</v>
      </c>
      <c r="G130" s="223" t="s">
        <v>732</v>
      </c>
      <c r="H130" s="201" t="s">
        <v>733</v>
      </c>
      <c r="J130" s="203" t="s">
        <v>449</v>
      </c>
      <c r="K130" s="204" t="s">
        <v>510</v>
      </c>
      <c r="L130" s="241">
        <v>74.84</v>
      </c>
      <c r="M130" s="203" t="s">
        <v>454</v>
      </c>
      <c r="O130" s="5" t="s">
        <v>144</v>
      </c>
      <c r="Q130" s="194" t="s">
        <v>938</v>
      </c>
    </row>
    <row r="131" spans="1:17" hidden="1" x14ac:dyDescent="0.3">
      <c r="A131" s="244">
        <v>130</v>
      </c>
      <c r="B131" s="196" t="s">
        <v>446</v>
      </c>
      <c r="C131" s="197">
        <v>45099</v>
      </c>
      <c r="D131" s="196"/>
      <c r="E131" s="209" t="s">
        <v>451</v>
      </c>
      <c r="F131" s="199">
        <v>45077</v>
      </c>
      <c r="G131" s="200">
        <v>45077</v>
      </c>
      <c r="H131" s="201" t="s">
        <v>734</v>
      </c>
      <c r="J131" s="203" t="s">
        <v>449</v>
      </c>
      <c r="K131" s="204" t="s">
        <v>583</v>
      </c>
      <c r="L131" s="241">
        <v>3019.46</v>
      </c>
      <c r="M131" s="203" t="s">
        <v>454</v>
      </c>
      <c r="O131" s="194" t="s">
        <v>901</v>
      </c>
      <c r="P131" s="194" t="s">
        <v>910</v>
      </c>
      <c r="Q131" s="194" t="s">
        <v>938</v>
      </c>
    </row>
    <row r="132" spans="1:17" hidden="1" x14ac:dyDescent="0.3">
      <c r="A132" s="244">
        <v>131</v>
      </c>
      <c r="B132" s="196" t="s">
        <v>446</v>
      </c>
      <c r="C132" s="197">
        <v>45099</v>
      </c>
      <c r="D132" s="196"/>
      <c r="E132" s="209" t="s">
        <v>451</v>
      </c>
      <c r="F132" s="199">
        <v>45096</v>
      </c>
      <c r="G132" s="200">
        <v>45096</v>
      </c>
      <c r="H132" s="201" t="s">
        <v>735</v>
      </c>
      <c r="J132" s="203" t="s">
        <v>449</v>
      </c>
      <c r="K132" s="204" t="s">
        <v>736</v>
      </c>
      <c r="L132" s="241">
        <v>57702.43</v>
      </c>
      <c r="M132" s="203" t="s">
        <v>454</v>
      </c>
      <c r="O132" s="194" t="s">
        <v>901</v>
      </c>
      <c r="P132" s="194" t="s">
        <v>909</v>
      </c>
      <c r="Q132" s="194" t="s">
        <v>938</v>
      </c>
    </row>
    <row r="133" spans="1:17" hidden="1" x14ac:dyDescent="0.3">
      <c r="A133" s="244">
        <v>132</v>
      </c>
      <c r="B133" s="196" t="s">
        <v>446</v>
      </c>
      <c r="C133" s="197">
        <v>45099</v>
      </c>
      <c r="D133" s="196"/>
      <c r="E133" s="198" t="s">
        <v>471</v>
      </c>
      <c r="F133" s="199">
        <v>45107</v>
      </c>
      <c r="G133" s="200">
        <v>45107</v>
      </c>
      <c r="H133" s="201" t="s">
        <v>737</v>
      </c>
      <c r="J133" s="203" t="s">
        <v>449</v>
      </c>
      <c r="K133" s="204" t="s">
        <v>738</v>
      </c>
      <c r="L133" s="241">
        <v>493.18</v>
      </c>
      <c r="M133" s="215">
        <v>45107</v>
      </c>
      <c r="O133" s="5" t="s">
        <v>10</v>
      </c>
      <c r="Q133" s="194" t="s">
        <v>938</v>
      </c>
    </row>
    <row r="134" spans="1:17" hidden="1" x14ac:dyDescent="0.3">
      <c r="A134" s="244">
        <v>133</v>
      </c>
      <c r="B134" s="196" t="s">
        <v>446</v>
      </c>
      <c r="C134" s="197">
        <v>45103</v>
      </c>
      <c r="D134" s="196"/>
      <c r="E134" s="198" t="s">
        <v>739</v>
      </c>
      <c r="F134" s="199">
        <v>45100</v>
      </c>
      <c r="G134" s="200">
        <v>45100</v>
      </c>
      <c r="H134" s="201" t="s">
        <v>740</v>
      </c>
      <c r="J134" s="203" t="s">
        <v>449</v>
      </c>
      <c r="K134" s="204" t="s">
        <v>741</v>
      </c>
      <c r="L134" s="241">
        <v>3280</v>
      </c>
      <c r="M134" s="215">
        <v>45107</v>
      </c>
      <c r="O134" s="194" t="s">
        <v>101</v>
      </c>
      <c r="Q134" s="194" t="s">
        <v>938</v>
      </c>
    </row>
    <row r="135" spans="1:17" hidden="1" x14ac:dyDescent="0.3">
      <c r="A135" s="244">
        <v>134</v>
      </c>
      <c r="B135" s="196" t="s">
        <v>446</v>
      </c>
      <c r="C135" s="197">
        <v>45103</v>
      </c>
      <c r="D135" s="196"/>
      <c r="E135" s="198" t="s">
        <v>479</v>
      </c>
      <c r="F135" s="199">
        <v>45097</v>
      </c>
      <c r="G135" s="200">
        <v>45097</v>
      </c>
      <c r="H135" s="201" t="s">
        <v>742</v>
      </c>
      <c r="J135" s="203" t="s">
        <v>449</v>
      </c>
      <c r="K135" s="204" t="s">
        <v>743</v>
      </c>
      <c r="L135" s="241">
        <v>118.5</v>
      </c>
      <c r="M135" s="203" t="s">
        <v>454</v>
      </c>
      <c r="O135" s="5" t="s">
        <v>59</v>
      </c>
      <c r="Q135" s="194" t="s">
        <v>938</v>
      </c>
    </row>
    <row r="136" spans="1:17" hidden="1" x14ac:dyDescent="0.3">
      <c r="A136" s="244">
        <v>135</v>
      </c>
      <c r="B136" s="196" t="s">
        <v>446</v>
      </c>
      <c r="C136" s="197">
        <v>45103</v>
      </c>
      <c r="D136" s="196"/>
      <c r="E136" s="198" t="s">
        <v>482</v>
      </c>
      <c r="F136" s="199">
        <v>45100</v>
      </c>
      <c r="G136" s="200">
        <v>45100</v>
      </c>
      <c r="H136" s="201" t="s">
        <v>744</v>
      </c>
      <c r="J136" s="203" t="s">
        <v>449</v>
      </c>
      <c r="K136" s="204" t="s">
        <v>745</v>
      </c>
      <c r="L136" s="241">
        <v>180.26</v>
      </c>
      <c r="M136" s="203" t="s">
        <v>454</v>
      </c>
      <c r="O136" s="194" t="s">
        <v>901</v>
      </c>
      <c r="P136" s="194" t="s">
        <v>905</v>
      </c>
      <c r="Q136" s="194" t="s">
        <v>938</v>
      </c>
    </row>
    <row r="137" spans="1:17" hidden="1" x14ac:dyDescent="0.3">
      <c r="A137" s="244">
        <v>136</v>
      </c>
      <c r="B137" s="196" t="s">
        <v>446</v>
      </c>
      <c r="C137" s="197">
        <v>45103</v>
      </c>
      <c r="D137" s="196"/>
      <c r="E137" s="198" t="s">
        <v>647</v>
      </c>
      <c r="F137" s="199">
        <v>45092</v>
      </c>
      <c r="G137" s="200">
        <v>45092</v>
      </c>
      <c r="H137" s="201" t="s">
        <v>746</v>
      </c>
      <c r="J137" s="203" t="s">
        <v>449</v>
      </c>
      <c r="K137" s="204" t="s">
        <v>747</v>
      </c>
      <c r="L137" s="241">
        <v>256.05</v>
      </c>
      <c r="M137" s="203" t="s">
        <v>454</v>
      </c>
      <c r="O137" s="194" t="s">
        <v>901</v>
      </c>
      <c r="P137" s="194" t="s">
        <v>905</v>
      </c>
      <c r="Q137" s="194" t="s">
        <v>938</v>
      </c>
    </row>
    <row r="138" spans="1:17" hidden="1" x14ac:dyDescent="0.3">
      <c r="A138" s="244">
        <v>137</v>
      </c>
      <c r="B138" s="196" t="s">
        <v>446</v>
      </c>
      <c r="C138" s="197">
        <v>45106</v>
      </c>
      <c r="D138" s="196"/>
      <c r="E138" s="198" t="s">
        <v>485</v>
      </c>
      <c r="F138" s="199">
        <v>45105</v>
      </c>
      <c r="G138" s="200">
        <v>45105</v>
      </c>
      <c r="H138" s="201" t="s">
        <v>748</v>
      </c>
      <c r="J138" s="203" t="s">
        <v>449</v>
      </c>
      <c r="K138" s="204" t="s">
        <v>689</v>
      </c>
      <c r="L138" s="241">
        <v>89.54</v>
      </c>
      <c r="M138" s="203" t="s">
        <v>454</v>
      </c>
      <c r="N138" s="205" t="s">
        <v>539</v>
      </c>
      <c r="O138" s="194" t="s">
        <v>89</v>
      </c>
      <c r="P138" s="194" t="s">
        <v>906</v>
      </c>
      <c r="Q138" s="194" t="s">
        <v>938</v>
      </c>
    </row>
    <row r="139" spans="1:17" hidden="1" x14ac:dyDescent="0.3">
      <c r="A139" s="244">
        <v>138</v>
      </c>
      <c r="B139" s="196" t="s">
        <v>446</v>
      </c>
      <c r="C139" s="197">
        <v>45106</v>
      </c>
      <c r="D139" s="196"/>
      <c r="E139" s="198" t="s">
        <v>749</v>
      </c>
      <c r="F139" s="199">
        <v>45108</v>
      </c>
      <c r="G139" s="200">
        <v>45108</v>
      </c>
      <c r="H139" s="201" t="s">
        <v>750</v>
      </c>
      <c r="J139" s="203" t="s">
        <v>449</v>
      </c>
      <c r="K139" s="204" t="s">
        <v>751</v>
      </c>
      <c r="L139" s="241">
        <v>2327.7399999999998</v>
      </c>
      <c r="M139" s="215">
        <v>45134</v>
      </c>
      <c r="O139" s="178" t="s">
        <v>48</v>
      </c>
      <c r="Q139" s="194" t="s">
        <v>938</v>
      </c>
    </row>
    <row r="140" spans="1:17" hidden="1" x14ac:dyDescent="0.3">
      <c r="A140" s="244">
        <v>139</v>
      </c>
      <c r="B140" s="196" t="s">
        <v>446</v>
      </c>
      <c r="C140" s="197">
        <v>45106</v>
      </c>
      <c r="D140" s="196"/>
      <c r="E140" s="198" t="s">
        <v>749</v>
      </c>
      <c r="F140" s="199">
        <v>45108</v>
      </c>
      <c r="G140" s="200">
        <v>45108</v>
      </c>
      <c r="H140" s="201" t="s">
        <v>752</v>
      </c>
      <c r="J140" s="203" t="s">
        <v>449</v>
      </c>
      <c r="K140" s="204" t="s">
        <v>753</v>
      </c>
      <c r="L140" s="241">
        <v>307.91000000000003</v>
      </c>
      <c r="M140" s="215">
        <v>45134</v>
      </c>
      <c r="O140" s="178" t="s">
        <v>48</v>
      </c>
      <c r="Q140" s="194" t="s">
        <v>938</v>
      </c>
    </row>
    <row r="141" spans="1:17" hidden="1" x14ac:dyDescent="0.3">
      <c r="A141" s="244">
        <v>140</v>
      </c>
      <c r="B141" s="196" t="s">
        <v>446</v>
      </c>
      <c r="C141" s="197">
        <v>45106</v>
      </c>
      <c r="D141" s="196"/>
      <c r="E141" s="198" t="s">
        <v>749</v>
      </c>
      <c r="F141" s="199">
        <v>45108</v>
      </c>
      <c r="G141" s="200">
        <v>45108</v>
      </c>
      <c r="H141" s="201" t="s">
        <v>754</v>
      </c>
      <c r="J141" s="203" t="s">
        <v>449</v>
      </c>
      <c r="K141" s="204" t="s">
        <v>755</v>
      </c>
      <c r="L141" s="241">
        <v>445</v>
      </c>
      <c r="M141" s="215">
        <v>45134</v>
      </c>
      <c r="O141" s="178" t="s">
        <v>48</v>
      </c>
      <c r="Q141" s="194" t="s">
        <v>938</v>
      </c>
    </row>
    <row r="142" spans="1:17" hidden="1" x14ac:dyDescent="0.3">
      <c r="A142" s="244">
        <v>141</v>
      </c>
      <c r="B142" s="196" t="s">
        <v>446</v>
      </c>
      <c r="C142" s="197">
        <v>45110</v>
      </c>
      <c r="D142" s="196"/>
      <c r="E142" s="198" t="s">
        <v>468</v>
      </c>
      <c r="F142" s="199">
        <v>45108</v>
      </c>
      <c r="G142" s="200">
        <v>45108</v>
      </c>
      <c r="H142" s="201" t="s">
        <v>756</v>
      </c>
      <c r="J142" s="203" t="s">
        <v>449</v>
      </c>
      <c r="K142" s="204" t="s">
        <v>757</v>
      </c>
      <c r="L142" s="241">
        <v>617.1</v>
      </c>
      <c r="M142" s="215">
        <v>45134</v>
      </c>
      <c r="O142" s="5" t="s">
        <v>89</v>
      </c>
      <c r="P142" s="194" t="s">
        <v>907</v>
      </c>
      <c r="Q142" s="194" t="s">
        <v>938</v>
      </c>
    </row>
    <row r="143" spans="1:17" hidden="1" x14ac:dyDescent="0.3">
      <c r="A143" s="244">
        <v>142</v>
      </c>
      <c r="B143" s="196" t="s">
        <v>446</v>
      </c>
      <c r="C143" s="197">
        <v>45082</v>
      </c>
      <c r="D143" s="196"/>
      <c r="E143" s="198" t="s">
        <v>758</v>
      </c>
      <c r="F143" s="199">
        <v>45069</v>
      </c>
      <c r="G143" s="200">
        <v>45069</v>
      </c>
      <c r="H143" s="201" t="s">
        <v>759</v>
      </c>
      <c r="J143" s="203" t="s">
        <v>449</v>
      </c>
      <c r="K143" s="204" t="s">
        <v>760</v>
      </c>
      <c r="L143" s="241">
        <v>-42.22</v>
      </c>
      <c r="M143" s="203" t="s">
        <v>761</v>
      </c>
      <c r="N143" s="194"/>
      <c r="O143" s="5" t="s">
        <v>59</v>
      </c>
      <c r="Q143" s="194" t="s">
        <v>938</v>
      </c>
    </row>
    <row r="144" spans="1:17" hidden="1" x14ac:dyDescent="0.3">
      <c r="A144" s="244">
        <v>143</v>
      </c>
      <c r="B144" s="196" t="s">
        <v>446</v>
      </c>
      <c r="C144" s="224">
        <v>45110</v>
      </c>
      <c r="D144" s="196"/>
      <c r="E144" s="198" t="s">
        <v>762</v>
      </c>
      <c r="F144" s="199">
        <v>45107</v>
      </c>
      <c r="G144" s="200">
        <v>45107</v>
      </c>
      <c r="H144" s="201" t="s">
        <v>763</v>
      </c>
      <c r="J144" s="203" t="s">
        <v>449</v>
      </c>
      <c r="K144" s="204" t="s">
        <v>764</v>
      </c>
      <c r="L144" s="241">
        <v>653.19000000000005</v>
      </c>
      <c r="M144" s="215">
        <v>45134</v>
      </c>
      <c r="O144" s="194" t="s">
        <v>89</v>
      </c>
      <c r="Q144" s="194" t="s">
        <v>938</v>
      </c>
    </row>
    <row r="145" spans="1:17" hidden="1" x14ac:dyDescent="0.3">
      <c r="A145" s="231">
        <v>144</v>
      </c>
      <c r="B145" s="225" t="s">
        <v>446</v>
      </c>
      <c r="C145" s="226">
        <v>45110</v>
      </c>
      <c r="D145" s="196"/>
      <c r="E145" s="198" t="s">
        <v>762</v>
      </c>
      <c r="F145" s="199">
        <v>45107</v>
      </c>
      <c r="G145" s="200">
        <v>45107</v>
      </c>
      <c r="H145" s="201" t="s">
        <v>765</v>
      </c>
      <c r="J145" s="203" t="s">
        <v>449</v>
      </c>
      <c r="K145" s="204" t="s">
        <v>766</v>
      </c>
      <c r="L145" s="241">
        <v>1160.3900000000001</v>
      </c>
      <c r="M145" s="215">
        <v>45134</v>
      </c>
      <c r="O145" s="194" t="s">
        <v>89</v>
      </c>
      <c r="Q145" s="194" t="s">
        <v>938</v>
      </c>
    </row>
    <row r="146" spans="1:17" hidden="1" x14ac:dyDescent="0.3">
      <c r="A146" s="231">
        <v>145</v>
      </c>
      <c r="B146" s="203" t="s">
        <v>446</v>
      </c>
      <c r="C146" s="227">
        <v>45113</v>
      </c>
      <c r="D146" s="196"/>
      <c r="E146" s="228" t="s">
        <v>767</v>
      </c>
      <c r="F146" s="221">
        <v>45113</v>
      </c>
      <c r="G146" s="221">
        <v>45113</v>
      </c>
      <c r="H146" s="203">
        <v>42006800</v>
      </c>
      <c r="J146" s="203" t="s">
        <v>449</v>
      </c>
      <c r="K146" s="229" t="s">
        <v>768</v>
      </c>
      <c r="L146" s="243">
        <v>53.71</v>
      </c>
      <c r="M146" s="230">
        <v>45141</v>
      </c>
      <c r="O146" s="194" t="s">
        <v>901</v>
      </c>
      <c r="P146" s="194" t="s">
        <v>903</v>
      </c>
      <c r="Q146" s="194" t="s">
        <v>938</v>
      </c>
    </row>
    <row r="147" spans="1:17" hidden="1" x14ac:dyDescent="0.3">
      <c r="A147" s="231">
        <v>146</v>
      </c>
      <c r="B147" s="203" t="s">
        <v>446</v>
      </c>
      <c r="C147" s="227">
        <v>45110</v>
      </c>
      <c r="D147" s="196"/>
      <c r="E147" s="228" t="s">
        <v>463</v>
      </c>
      <c r="F147" s="221">
        <v>45125</v>
      </c>
      <c r="G147" s="221">
        <v>45125</v>
      </c>
      <c r="H147" s="203">
        <v>7304532873</v>
      </c>
      <c r="J147" s="203" t="s">
        <v>449</v>
      </c>
      <c r="K147" s="228" t="s">
        <v>769</v>
      </c>
      <c r="L147" s="243">
        <v>31.46</v>
      </c>
      <c r="M147" s="231" t="s">
        <v>454</v>
      </c>
      <c r="O147" s="5" t="s">
        <v>64</v>
      </c>
      <c r="Q147" s="194" t="s">
        <v>938</v>
      </c>
    </row>
    <row r="148" spans="1:17" hidden="1" x14ac:dyDescent="0.3">
      <c r="A148" s="231">
        <v>147</v>
      </c>
      <c r="B148" s="203" t="s">
        <v>446</v>
      </c>
      <c r="C148" s="227">
        <v>45110</v>
      </c>
      <c r="D148" s="196"/>
      <c r="E148" s="228" t="s">
        <v>463</v>
      </c>
      <c r="F148" s="221">
        <v>45125</v>
      </c>
      <c r="G148" s="221">
        <v>45125</v>
      </c>
      <c r="H148" s="203">
        <v>7304532882</v>
      </c>
      <c r="J148" s="203" t="s">
        <v>449</v>
      </c>
      <c r="K148" s="228" t="s">
        <v>770</v>
      </c>
      <c r="L148" s="243">
        <v>86.91</v>
      </c>
      <c r="M148" s="230">
        <v>45141</v>
      </c>
      <c r="O148" s="5" t="s">
        <v>64</v>
      </c>
      <c r="Q148" s="194" t="s">
        <v>938</v>
      </c>
    </row>
    <row r="149" spans="1:17" hidden="1" x14ac:dyDescent="0.3">
      <c r="A149" s="231">
        <v>148</v>
      </c>
      <c r="B149" s="203" t="s">
        <v>446</v>
      </c>
      <c r="C149" s="227">
        <v>45124</v>
      </c>
      <c r="D149" s="196"/>
      <c r="E149" s="228" t="s">
        <v>771</v>
      </c>
      <c r="F149" s="221">
        <v>45110</v>
      </c>
      <c r="G149" s="221">
        <v>45110</v>
      </c>
      <c r="H149" s="203" t="s">
        <v>772</v>
      </c>
      <c r="J149" s="203" t="s">
        <v>449</v>
      </c>
      <c r="K149" s="228" t="s">
        <v>773</v>
      </c>
      <c r="L149" s="243">
        <v>103.87</v>
      </c>
      <c r="M149" s="230">
        <v>45141</v>
      </c>
      <c r="O149" s="5" t="s">
        <v>75</v>
      </c>
      <c r="P149" s="194" t="s">
        <v>939</v>
      </c>
      <c r="Q149" s="194" t="s">
        <v>938</v>
      </c>
    </row>
    <row r="150" spans="1:17" hidden="1" x14ac:dyDescent="0.3">
      <c r="A150" s="231">
        <v>149</v>
      </c>
      <c r="B150" s="203" t="s">
        <v>446</v>
      </c>
      <c r="C150" s="227">
        <v>45124</v>
      </c>
      <c r="D150" s="196"/>
      <c r="E150" s="228" t="s">
        <v>639</v>
      </c>
      <c r="F150" s="221">
        <v>45107</v>
      </c>
      <c r="G150" s="221">
        <v>45137</v>
      </c>
      <c r="H150" s="203" t="s">
        <v>774</v>
      </c>
      <c r="J150" s="203" t="s">
        <v>449</v>
      </c>
      <c r="K150" s="228" t="s">
        <v>775</v>
      </c>
      <c r="L150" s="243">
        <v>177.97</v>
      </c>
      <c r="M150" s="230">
        <v>45141</v>
      </c>
      <c r="O150" s="194" t="s">
        <v>55</v>
      </c>
    </row>
    <row r="151" spans="1:17" x14ac:dyDescent="0.3">
      <c r="A151" s="231">
        <v>150</v>
      </c>
      <c r="B151" s="203" t="s">
        <v>446</v>
      </c>
      <c r="C151" s="227">
        <v>45114</v>
      </c>
      <c r="D151" s="196"/>
      <c r="E151" s="228" t="s">
        <v>776</v>
      </c>
      <c r="F151" s="221">
        <v>45107</v>
      </c>
      <c r="G151" s="221">
        <v>45137</v>
      </c>
      <c r="H151" s="203" t="s">
        <v>777</v>
      </c>
      <c r="J151" s="203" t="s">
        <v>449</v>
      </c>
      <c r="K151" s="228" t="s">
        <v>778</v>
      </c>
      <c r="L151" s="243">
        <v>992.2</v>
      </c>
      <c r="M151" s="230">
        <v>45141</v>
      </c>
      <c r="P151" s="194" t="s">
        <v>149</v>
      </c>
    </row>
    <row r="152" spans="1:17" x14ac:dyDescent="0.3">
      <c r="A152" s="231">
        <v>151</v>
      </c>
      <c r="B152" s="203" t="s">
        <v>446</v>
      </c>
      <c r="C152" s="227">
        <v>45114</v>
      </c>
      <c r="D152" s="196"/>
      <c r="E152" s="228" t="s">
        <v>776</v>
      </c>
      <c r="F152" s="221">
        <v>45107</v>
      </c>
      <c r="G152" s="221">
        <v>45137</v>
      </c>
      <c r="H152" s="203" t="s">
        <v>779</v>
      </c>
      <c r="J152" s="203" t="s">
        <v>449</v>
      </c>
      <c r="K152" s="228" t="s">
        <v>780</v>
      </c>
      <c r="L152" s="243">
        <v>496.1</v>
      </c>
      <c r="M152" s="230">
        <v>45141</v>
      </c>
      <c r="P152" s="194" t="s">
        <v>149</v>
      </c>
    </row>
    <row r="153" spans="1:17" hidden="1" x14ac:dyDescent="0.3">
      <c r="A153" s="231">
        <v>152</v>
      </c>
      <c r="B153" s="203" t="s">
        <v>446</v>
      </c>
      <c r="C153" s="227">
        <v>45124</v>
      </c>
      <c r="D153" s="196"/>
      <c r="E153" s="209" t="s">
        <v>451</v>
      </c>
      <c r="F153" s="221">
        <v>45124</v>
      </c>
      <c r="G153" s="221">
        <v>45124</v>
      </c>
      <c r="H153" s="232">
        <v>202307001594</v>
      </c>
      <c r="J153" s="203" t="s">
        <v>449</v>
      </c>
      <c r="K153" s="228" t="s">
        <v>781</v>
      </c>
      <c r="L153" s="243">
        <v>63439.71</v>
      </c>
      <c r="M153" s="231" t="s">
        <v>454</v>
      </c>
      <c r="O153" s="194" t="s">
        <v>901</v>
      </c>
      <c r="P153" s="194" t="s">
        <v>909</v>
      </c>
    </row>
    <row r="154" spans="1:17" hidden="1" x14ac:dyDescent="0.3">
      <c r="A154" s="231">
        <v>153</v>
      </c>
      <c r="B154" s="203" t="s">
        <v>446</v>
      </c>
      <c r="C154" s="227">
        <v>45125</v>
      </c>
      <c r="D154" s="196"/>
      <c r="E154" s="209" t="s">
        <v>451</v>
      </c>
      <c r="F154" s="221">
        <v>45138</v>
      </c>
      <c r="G154" s="221">
        <v>45138</v>
      </c>
      <c r="H154" s="232">
        <v>202306012600</v>
      </c>
      <c r="J154" s="203" t="s">
        <v>449</v>
      </c>
      <c r="K154" s="228" t="s">
        <v>782</v>
      </c>
      <c r="L154" s="243">
        <v>56050.42</v>
      </c>
      <c r="M154" s="231" t="s">
        <v>454</v>
      </c>
      <c r="O154" s="194" t="s">
        <v>901</v>
      </c>
      <c r="P154" s="194" t="s">
        <v>909</v>
      </c>
    </row>
    <row r="155" spans="1:17" hidden="1" x14ac:dyDescent="0.3">
      <c r="A155" s="231">
        <v>154</v>
      </c>
      <c r="B155" s="203" t="s">
        <v>446</v>
      </c>
      <c r="C155" s="227">
        <v>45138</v>
      </c>
      <c r="D155" s="196"/>
      <c r="E155" s="198" t="s">
        <v>471</v>
      </c>
      <c r="F155" s="221">
        <v>45138</v>
      </c>
      <c r="G155" s="221">
        <v>45138</v>
      </c>
      <c r="H155" s="203" t="s">
        <v>584</v>
      </c>
      <c r="J155" s="203" t="s">
        <v>449</v>
      </c>
      <c r="K155" s="228" t="s">
        <v>783</v>
      </c>
      <c r="L155" s="243">
        <v>493.18</v>
      </c>
      <c r="M155" s="230">
        <v>45141</v>
      </c>
      <c r="O155" s="5" t="s">
        <v>10</v>
      </c>
    </row>
    <row r="156" spans="1:17" hidden="1" x14ac:dyDescent="0.3">
      <c r="A156" s="244">
        <v>155</v>
      </c>
      <c r="B156" s="196" t="s">
        <v>446</v>
      </c>
      <c r="C156" s="227">
        <v>45138</v>
      </c>
      <c r="D156" s="196"/>
      <c r="E156" s="198" t="s">
        <v>479</v>
      </c>
      <c r="F156" s="199">
        <v>45126</v>
      </c>
      <c r="G156" s="200">
        <v>45126</v>
      </c>
      <c r="H156" s="201" t="s">
        <v>784</v>
      </c>
      <c r="J156" s="203" t="s">
        <v>449</v>
      </c>
      <c r="K156" s="204" t="s">
        <v>785</v>
      </c>
      <c r="L156" s="241">
        <v>118.5</v>
      </c>
      <c r="M156" s="203" t="s">
        <v>454</v>
      </c>
      <c r="O156" s="5" t="s">
        <v>59</v>
      </c>
    </row>
    <row r="157" spans="1:17" hidden="1" x14ac:dyDescent="0.3">
      <c r="A157" s="244">
        <v>156</v>
      </c>
      <c r="B157" s="196" t="s">
        <v>446</v>
      </c>
      <c r="C157" s="227">
        <v>45138</v>
      </c>
      <c r="D157" s="196"/>
      <c r="E157" s="198" t="s">
        <v>523</v>
      </c>
      <c r="F157" s="199">
        <v>45148</v>
      </c>
      <c r="G157" s="200">
        <v>45148</v>
      </c>
      <c r="H157" s="201" t="s">
        <v>786</v>
      </c>
      <c r="J157" s="203" t="s">
        <v>449</v>
      </c>
      <c r="K157" s="204" t="s">
        <v>787</v>
      </c>
      <c r="L157" s="241">
        <v>112.85</v>
      </c>
      <c r="M157" s="215">
        <v>45159</v>
      </c>
      <c r="O157" s="237" t="s">
        <v>8</v>
      </c>
    </row>
    <row r="158" spans="1:17" hidden="1" x14ac:dyDescent="0.3">
      <c r="A158" s="244">
        <v>157</v>
      </c>
      <c r="B158" s="196" t="s">
        <v>446</v>
      </c>
      <c r="C158" s="227">
        <v>45138</v>
      </c>
      <c r="D158" s="196"/>
      <c r="E158" s="209" t="s">
        <v>451</v>
      </c>
      <c r="F158" s="199">
        <v>45133</v>
      </c>
      <c r="G158" s="200">
        <v>45133</v>
      </c>
      <c r="H158" s="201" t="s">
        <v>788</v>
      </c>
      <c r="J158" s="203" t="s">
        <v>449</v>
      </c>
      <c r="K158" s="204" t="s">
        <v>789</v>
      </c>
      <c r="L158" s="241">
        <v>145.84</v>
      </c>
      <c r="M158" s="203" t="s">
        <v>454</v>
      </c>
      <c r="O158" s="194" t="s">
        <v>912</v>
      </c>
      <c r="P158" s="194" t="s">
        <v>913</v>
      </c>
    </row>
    <row r="159" spans="1:17" hidden="1" x14ac:dyDescent="0.3">
      <c r="A159" s="244">
        <v>158</v>
      </c>
      <c r="B159" s="196" t="s">
        <v>446</v>
      </c>
      <c r="C159" s="227">
        <v>45138</v>
      </c>
      <c r="D159" s="196"/>
      <c r="E159" s="198" t="s">
        <v>653</v>
      </c>
      <c r="F159" s="199">
        <v>45139</v>
      </c>
      <c r="G159" s="200">
        <v>45139</v>
      </c>
      <c r="H159" s="201" t="s">
        <v>790</v>
      </c>
      <c r="J159" s="203" t="s">
        <v>449</v>
      </c>
      <c r="K159" s="204" t="s">
        <v>791</v>
      </c>
      <c r="L159" s="241">
        <v>2327.7399999999998</v>
      </c>
      <c r="M159" s="215">
        <v>45159</v>
      </c>
      <c r="O159" s="178" t="s">
        <v>48</v>
      </c>
    </row>
    <row r="160" spans="1:17" hidden="1" x14ac:dyDescent="0.3">
      <c r="A160" s="244">
        <v>159</v>
      </c>
      <c r="B160" s="196" t="s">
        <v>446</v>
      </c>
      <c r="C160" s="227">
        <v>45138</v>
      </c>
      <c r="D160" s="196"/>
      <c r="E160" s="198" t="s">
        <v>653</v>
      </c>
      <c r="F160" s="199">
        <v>45139</v>
      </c>
      <c r="G160" s="200">
        <v>45139</v>
      </c>
      <c r="H160" s="201" t="s">
        <v>792</v>
      </c>
      <c r="J160" s="203" t="s">
        <v>449</v>
      </c>
      <c r="K160" s="204" t="s">
        <v>793</v>
      </c>
      <c r="L160" s="241">
        <v>307.91000000000003</v>
      </c>
      <c r="M160" s="215">
        <v>45159</v>
      </c>
      <c r="O160" s="178" t="s">
        <v>48</v>
      </c>
    </row>
    <row r="161" spans="1:17" hidden="1" x14ac:dyDescent="0.3">
      <c r="A161" s="244">
        <v>160</v>
      </c>
      <c r="B161" s="196" t="s">
        <v>446</v>
      </c>
      <c r="C161" s="227">
        <v>45138</v>
      </c>
      <c r="D161" s="196"/>
      <c r="E161" s="198" t="s">
        <v>794</v>
      </c>
      <c r="F161" s="199">
        <v>45139</v>
      </c>
      <c r="G161" s="200">
        <v>45139</v>
      </c>
      <c r="H161" s="201" t="s">
        <v>795</v>
      </c>
      <c r="J161" s="203" t="s">
        <v>449</v>
      </c>
      <c r="K161" s="204" t="s">
        <v>796</v>
      </c>
      <c r="L161" s="241">
        <v>445</v>
      </c>
      <c r="M161" s="215">
        <v>45159</v>
      </c>
      <c r="O161" s="178" t="s">
        <v>48</v>
      </c>
    </row>
    <row r="162" spans="1:17" hidden="1" x14ac:dyDescent="0.3">
      <c r="A162" s="244">
        <v>161</v>
      </c>
      <c r="B162" s="196" t="s">
        <v>446</v>
      </c>
      <c r="C162" s="227">
        <v>45140</v>
      </c>
      <c r="D162" s="196"/>
      <c r="E162" s="198" t="s">
        <v>468</v>
      </c>
      <c r="F162" s="199">
        <v>45139</v>
      </c>
      <c r="G162" s="200">
        <v>45139</v>
      </c>
      <c r="H162" s="201" t="s">
        <v>797</v>
      </c>
      <c r="J162" s="203" t="s">
        <v>449</v>
      </c>
      <c r="K162" s="204" t="s">
        <v>798</v>
      </c>
      <c r="L162" s="241">
        <v>617.1</v>
      </c>
      <c r="M162" s="215">
        <v>45159</v>
      </c>
      <c r="O162" s="5" t="s">
        <v>89</v>
      </c>
      <c r="P162" s="194" t="s">
        <v>907</v>
      </c>
      <c r="Q162" s="194" t="s">
        <v>918</v>
      </c>
    </row>
    <row r="163" spans="1:17" x14ac:dyDescent="0.3">
      <c r="A163" s="244">
        <v>162</v>
      </c>
      <c r="B163" s="196" t="s">
        <v>446</v>
      </c>
      <c r="C163" s="197">
        <v>45145</v>
      </c>
      <c r="D163" s="196"/>
      <c r="E163" s="198" t="s">
        <v>799</v>
      </c>
      <c r="F163" s="199">
        <v>45107</v>
      </c>
      <c r="G163" s="200">
        <v>45107</v>
      </c>
      <c r="H163" s="201" t="s">
        <v>800</v>
      </c>
      <c r="J163" s="203" t="s">
        <v>449</v>
      </c>
      <c r="K163" s="204" t="s">
        <v>801</v>
      </c>
      <c r="L163" s="241">
        <v>5092.1400000000003</v>
      </c>
      <c r="M163" s="215">
        <v>45159</v>
      </c>
      <c r="O163" s="194" t="s">
        <v>149</v>
      </c>
    </row>
    <row r="164" spans="1:17" hidden="1" x14ac:dyDescent="0.3">
      <c r="A164" s="244">
        <v>163</v>
      </c>
      <c r="B164" s="196" t="s">
        <v>446</v>
      </c>
      <c r="C164" s="197">
        <v>45145</v>
      </c>
      <c r="D164" s="196"/>
      <c r="E164" s="198" t="s">
        <v>546</v>
      </c>
      <c r="F164" s="199">
        <v>45138</v>
      </c>
      <c r="G164" s="200">
        <v>45138</v>
      </c>
      <c r="H164" s="201" t="s">
        <v>802</v>
      </c>
      <c r="J164" s="203" t="s">
        <v>449</v>
      </c>
      <c r="K164" s="204">
        <v>23071466</v>
      </c>
      <c r="L164" s="241">
        <v>1016.25</v>
      </c>
      <c r="M164" s="215">
        <v>45159</v>
      </c>
      <c r="O164" s="194" t="s">
        <v>89</v>
      </c>
    </row>
    <row r="165" spans="1:17" hidden="1" x14ac:dyDescent="0.3">
      <c r="A165" s="244">
        <v>164</v>
      </c>
      <c r="B165" s="196" t="s">
        <v>446</v>
      </c>
      <c r="C165" s="197">
        <v>45154</v>
      </c>
      <c r="D165" s="196"/>
      <c r="E165" s="198" t="s">
        <v>447</v>
      </c>
      <c r="F165" s="199">
        <v>45141</v>
      </c>
      <c r="G165" s="200">
        <v>45141</v>
      </c>
      <c r="H165" s="201" t="s">
        <v>680</v>
      </c>
      <c r="J165" s="203" t="s">
        <v>449</v>
      </c>
      <c r="K165" s="204" t="s">
        <v>803</v>
      </c>
      <c r="L165" s="241">
        <v>53.71</v>
      </c>
      <c r="M165" s="215">
        <v>45159</v>
      </c>
      <c r="O165" s="194" t="s">
        <v>901</v>
      </c>
      <c r="P165" s="194" t="s">
        <v>903</v>
      </c>
    </row>
    <row r="166" spans="1:17" hidden="1" x14ac:dyDescent="0.3">
      <c r="A166" s="244">
        <v>165</v>
      </c>
      <c r="B166" s="196" t="s">
        <v>446</v>
      </c>
      <c r="C166" s="197">
        <v>45156</v>
      </c>
      <c r="D166" s="196"/>
      <c r="E166" s="198" t="s">
        <v>513</v>
      </c>
      <c r="F166" s="199">
        <v>45141</v>
      </c>
      <c r="G166" s="200">
        <v>45141</v>
      </c>
      <c r="H166" s="201" t="s">
        <v>804</v>
      </c>
      <c r="J166" s="203" t="s">
        <v>449</v>
      </c>
      <c r="K166" s="204" t="s">
        <v>721</v>
      </c>
      <c r="L166" s="241">
        <v>31.46</v>
      </c>
      <c r="M166" s="203" t="s">
        <v>454</v>
      </c>
      <c r="O166" s="5" t="s">
        <v>64</v>
      </c>
    </row>
    <row r="167" spans="1:17" hidden="1" x14ac:dyDescent="0.3">
      <c r="A167" s="244">
        <v>166</v>
      </c>
      <c r="B167" s="196" t="s">
        <v>446</v>
      </c>
      <c r="C167" s="197">
        <v>45156</v>
      </c>
      <c r="D167" s="196"/>
      <c r="E167" s="198" t="s">
        <v>513</v>
      </c>
      <c r="F167" s="199">
        <v>45141</v>
      </c>
      <c r="G167" s="199">
        <v>45141</v>
      </c>
      <c r="H167" s="201" t="s">
        <v>805</v>
      </c>
      <c r="J167" s="203" t="s">
        <v>449</v>
      </c>
      <c r="K167" s="204" t="s">
        <v>465</v>
      </c>
      <c r="L167" s="241">
        <v>82.73</v>
      </c>
      <c r="M167" s="215">
        <v>45170</v>
      </c>
      <c r="O167" s="5" t="s">
        <v>64</v>
      </c>
    </row>
    <row r="168" spans="1:17" hidden="1" x14ac:dyDescent="0.3">
      <c r="A168" s="244">
        <v>167</v>
      </c>
      <c r="B168" s="196" t="s">
        <v>446</v>
      </c>
      <c r="C168" s="197">
        <v>45159</v>
      </c>
      <c r="D168" s="196"/>
      <c r="E168" s="198" t="s">
        <v>485</v>
      </c>
      <c r="F168" s="199">
        <v>45135</v>
      </c>
      <c r="G168" s="200">
        <v>45135</v>
      </c>
      <c r="H168" s="201" t="s">
        <v>806</v>
      </c>
      <c r="J168" s="203" t="s">
        <v>449</v>
      </c>
      <c r="K168" s="204" t="s">
        <v>689</v>
      </c>
      <c r="L168" s="241">
        <v>-89.54</v>
      </c>
      <c r="M168" s="203" t="s">
        <v>454</v>
      </c>
      <c r="O168" s="194" t="s">
        <v>89</v>
      </c>
      <c r="P168" s="194" t="s">
        <v>906</v>
      </c>
      <c r="Q168" s="194" t="s">
        <v>918</v>
      </c>
    </row>
    <row r="169" spans="1:17" hidden="1" x14ac:dyDescent="0.3">
      <c r="A169" s="244">
        <v>168</v>
      </c>
      <c r="B169" s="196" t="s">
        <v>446</v>
      </c>
      <c r="C169" s="197">
        <v>45159</v>
      </c>
      <c r="D169" s="196"/>
      <c r="E169" s="209" t="s">
        <v>451</v>
      </c>
      <c r="F169" s="199">
        <v>45138</v>
      </c>
      <c r="G169" s="200">
        <v>45138</v>
      </c>
      <c r="H169" s="201" t="s">
        <v>807</v>
      </c>
      <c r="J169" s="203" t="s">
        <v>449</v>
      </c>
      <c r="K169" s="204" t="s">
        <v>510</v>
      </c>
      <c r="L169" s="241">
        <v>74.84</v>
      </c>
      <c r="M169" s="203" t="s">
        <v>454</v>
      </c>
      <c r="O169" s="5" t="s">
        <v>144</v>
      </c>
    </row>
    <row r="170" spans="1:17" hidden="1" x14ac:dyDescent="0.3">
      <c r="A170" s="244">
        <v>169</v>
      </c>
      <c r="B170" s="196" t="s">
        <v>446</v>
      </c>
      <c r="C170" s="197">
        <v>45159</v>
      </c>
      <c r="D170" s="196"/>
      <c r="E170" s="209" t="s">
        <v>451</v>
      </c>
      <c r="F170" s="199">
        <v>45138</v>
      </c>
      <c r="G170" s="200">
        <v>45138</v>
      </c>
      <c r="H170" s="201" t="s">
        <v>808</v>
      </c>
      <c r="J170" s="203" t="s">
        <v>449</v>
      </c>
      <c r="K170" s="204" t="s">
        <v>736</v>
      </c>
      <c r="L170" s="241">
        <v>63139.71</v>
      </c>
      <c r="M170" s="203" t="s">
        <v>454</v>
      </c>
      <c r="O170" s="194" t="s">
        <v>901</v>
      </c>
      <c r="P170" s="194" t="s">
        <v>909</v>
      </c>
    </row>
    <row r="171" spans="1:17" hidden="1" x14ac:dyDescent="0.3">
      <c r="A171" s="244">
        <v>170</v>
      </c>
      <c r="B171" s="196" t="s">
        <v>446</v>
      </c>
      <c r="C171" s="197">
        <v>45159</v>
      </c>
      <c r="D171" s="196"/>
      <c r="E171" s="209" t="s">
        <v>451</v>
      </c>
      <c r="F171" s="199">
        <v>45138</v>
      </c>
      <c r="G171" s="200">
        <v>45138</v>
      </c>
      <c r="H171" s="201" t="s">
        <v>809</v>
      </c>
      <c r="J171" s="203" t="s">
        <v>449</v>
      </c>
      <c r="K171" s="204" t="s">
        <v>583</v>
      </c>
      <c r="L171" s="241">
        <v>1205.76</v>
      </c>
      <c r="M171" s="203" t="s">
        <v>454</v>
      </c>
      <c r="O171" s="194" t="s">
        <v>901</v>
      </c>
      <c r="P171" s="194" t="s">
        <v>910</v>
      </c>
    </row>
    <row r="172" spans="1:17" hidden="1" x14ac:dyDescent="0.3">
      <c r="A172" s="244">
        <v>171</v>
      </c>
      <c r="B172" s="196" t="s">
        <v>446</v>
      </c>
      <c r="C172" s="197">
        <v>45161</v>
      </c>
      <c r="D172" s="196"/>
      <c r="E172" s="198" t="s">
        <v>618</v>
      </c>
      <c r="F172" s="199">
        <v>45131</v>
      </c>
      <c r="G172" s="200">
        <v>45131</v>
      </c>
      <c r="H172" s="201" t="s">
        <v>810</v>
      </c>
      <c r="J172" s="203" t="s">
        <v>449</v>
      </c>
      <c r="K172" s="204" t="s">
        <v>811</v>
      </c>
      <c r="L172" s="241">
        <v>287.98</v>
      </c>
      <c r="M172" s="215">
        <v>45170</v>
      </c>
      <c r="O172" s="194" t="s">
        <v>89</v>
      </c>
      <c r="Q172" s="194" t="s">
        <v>917</v>
      </c>
    </row>
    <row r="173" spans="1:17" hidden="1" x14ac:dyDescent="0.3">
      <c r="A173" s="244">
        <v>172</v>
      </c>
      <c r="B173" s="196" t="s">
        <v>446</v>
      </c>
      <c r="C173" s="197">
        <v>45166</v>
      </c>
      <c r="D173" s="196"/>
      <c r="E173" s="198" t="s">
        <v>639</v>
      </c>
      <c r="F173" s="199">
        <v>45138</v>
      </c>
      <c r="G173" s="200">
        <v>45138</v>
      </c>
      <c r="H173" s="201" t="s">
        <v>812</v>
      </c>
      <c r="J173" s="203" t="s">
        <v>449</v>
      </c>
      <c r="K173" s="204" t="s">
        <v>813</v>
      </c>
      <c r="L173" s="241">
        <v>227.23</v>
      </c>
      <c r="M173" s="215">
        <v>45170</v>
      </c>
      <c r="O173" s="194" t="s">
        <v>55</v>
      </c>
    </row>
    <row r="174" spans="1:17" hidden="1" x14ac:dyDescent="0.3">
      <c r="A174" s="244">
        <v>173</v>
      </c>
      <c r="B174" s="196" t="s">
        <v>446</v>
      </c>
      <c r="C174" s="197">
        <v>45160</v>
      </c>
      <c r="D174" s="196"/>
      <c r="E174" s="198" t="s">
        <v>479</v>
      </c>
      <c r="F174" s="199">
        <v>45157</v>
      </c>
      <c r="G174" s="200">
        <v>45157</v>
      </c>
      <c r="H174" s="201" t="s">
        <v>814</v>
      </c>
      <c r="J174" s="203" t="s">
        <v>449</v>
      </c>
      <c r="K174" s="204" t="s">
        <v>683</v>
      </c>
      <c r="L174" s="241">
        <v>118.5</v>
      </c>
      <c r="M174" s="203" t="s">
        <v>454</v>
      </c>
      <c r="O174" s="5" t="s">
        <v>59</v>
      </c>
    </row>
    <row r="175" spans="1:17" hidden="1" x14ac:dyDescent="0.3">
      <c r="A175" s="244">
        <v>174</v>
      </c>
      <c r="B175" s="196" t="s">
        <v>446</v>
      </c>
      <c r="C175" s="197">
        <v>45160</v>
      </c>
      <c r="D175" s="196"/>
      <c r="E175" s="198" t="s">
        <v>618</v>
      </c>
      <c r="F175" s="199">
        <v>45078</v>
      </c>
      <c r="G175" s="200">
        <v>45078</v>
      </c>
      <c r="H175" s="201" t="s">
        <v>815</v>
      </c>
      <c r="J175" s="203" t="s">
        <v>449</v>
      </c>
      <c r="K175" s="204" t="s">
        <v>816</v>
      </c>
      <c r="L175" s="241">
        <v>1028.5</v>
      </c>
      <c r="M175" s="215">
        <v>45170</v>
      </c>
      <c r="O175" s="194" t="s">
        <v>89</v>
      </c>
      <c r="P175" s="194" t="s">
        <v>915</v>
      </c>
      <c r="Q175" s="194" t="s">
        <v>918</v>
      </c>
    </row>
    <row r="176" spans="1:17" hidden="1" x14ac:dyDescent="0.3">
      <c r="A176" s="244">
        <v>175</v>
      </c>
      <c r="B176" s="196" t="s">
        <v>446</v>
      </c>
      <c r="C176" s="197">
        <v>45167</v>
      </c>
      <c r="D176" s="196"/>
      <c r="E176" s="198" t="s">
        <v>817</v>
      </c>
      <c r="F176" s="199">
        <v>45166</v>
      </c>
      <c r="G176" s="200">
        <v>45166</v>
      </c>
      <c r="H176" s="201" t="s">
        <v>818</v>
      </c>
      <c r="J176" s="203" t="s">
        <v>449</v>
      </c>
      <c r="K176" s="204" t="s">
        <v>819</v>
      </c>
      <c r="L176" s="241">
        <v>89.54</v>
      </c>
      <c r="M176" s="203" t="s">
        <v>454</v>
      </c>
      <c r="O176" s="194" t="s">
        <v>89</v>
      </c>
      <c r="P176" s="194" t="s">
        <v>906</v>
      </c>
      <c r="Q176" s="194" t="s">
        <v>918</v>
      </c>
    </row>
    <row r="177" spans="1:17" hidden="1" x14ac:dyDescent="0.3">
      <c r="A177" s="244">
        <v>176</v>
      </c>
      <c r="B177" s="196" t="s">
        <v>446</v>
      </c>
      <c r="C177" s="197">
        <v>45169</v>
      </c>
      <c r="D177" s="196"/>
      <c r="E177" s="198" t="s">
        <v>820</v>
      </c>
      <c r="F177" s="199">
        <v>45170</v>
      </c>
      <c r="G177" s="200">
        <v>45170</v>
      </c>
      <c r="H177" s="201" t="s">
        <v>821</v>
      </c>
      <c r="J177" s="203" t="s">
        <v>449</v>
      </c>
      <c r="K177" s="204" t="s">
        <v>822</v>
      </c>
      <c r="L177" s="241">
        <v>2327.7399999999998</v>
      </c>
      <c r="M177" s="215">
        <v>45191</v>
      </c>
      <c r="O177" s="178" t="s">
        <v>48</v>
      </c>
    </row>
    <row r="178" spans="1:17" hidden="1" x14ac:dyDescent="0.3">
      <c r="A178" s="244">
        <v>177</v>
      </c>
      <c r="B178" s="196" t="s">
        <v>446</v>
      </c>
      <c r="C178" s="197">
        <v>45169</v>
      </c>
      <c r="D178" s="196"/>
      <c r="E178" s="198" t="s">
        <v>820</v>
      </c>
      <c r="F178" s="199">
        <v>45170</v>
      </c>
      <c r="G178" s="200">
        <v>45170</v>
      </c>
      <c r="H178" s="201" t="s">
        <v>823</v>
      </c>
      <c r="J178" s="203" t="s">
        <v>449</v>
      </c>
      <c r="K178" s="204" t="s">
        <v>824</v>
      </c>
      <c r="L178" s="241">
        <v>307.91000000000003</v>
      </c>
      <c r="M178" s="215">
        <v>45191</v>
      </c>
      <c r="O178" s="178" t="s">
        <v>48</v>
      </c>
    </row>
    <row r="179" spans="1:17" hidden="1" x14ac:dyDescent="0.3">
      <c r="A179" s="244">
        <v>178</v>
      </c>
      <c r="B179" s="196" t="s">
        <v>446</v>
      </c>
      <c r="C179" s="197">
        <v>45169</v>
      </c>
      <c r="D179" s="196"/>
      <c r="E179" s="198" t="s">
        <v>794</v>
      </c>
      <c r="F179" s="199">
        <v>45170</v>
      </c>
      <c r="G179" s="200">
        <v>45170</v>
      </c>
      <c r="H179" s="201" t="s">
        <v>825</v>
      </c>
      <c r="J179" s="203" t="s">
        <v>449</v>
      </c>
      <c r="K179" s="204" t="s">
        <v>826</v>
      </c>
      <c r="L179" s="241">
        <v>445</v>
      </c>
      <c r="M179" s="215">
        <v>45191</v>
      </c>
      <c r="O179" s="178" t="s">
        <v>48</v>
      </c>
    </row>
    <row r="180" spans="1:17" hidden="1" x14ac:dyDescent="0.3">
      <c r="A180" s="244">
        <v>179</v>
      </c>
      <c r="B180" s="196" t="s">
        <v>446</v>
      </c>
      <c r="C180" s="197">
        <v>45170</v>
      </c>
      <c r="D180" s="196"/>
      <c r="E180" s="198" t="s">
        <v>595</v>
      </c>
      <c r="F180" s="199">
        <v>45168</v>
      </c>
      <c r="G180" s="200">
        <v>45168</v>
      </c>
      <c r="H180" s="201" t="s">
        <v>827</v>
      </c>
      <c r="J180" s="203" t="s">
        <v>449</v>
      </c>
      <c r="K180" s="204" t="s">
        <v>828</v>
      </c>
      <c r="L180" s="241">
        <v>1615.12</v>
      </c>
      <c r="M180" s="215">
        <v>45191</v>
      </c>
      <c r="O180" s="5" t="s">
        <v>142</v>
      </c>
    </row>
    <row r="181" spans="1:17" hidden="1" x14ac:dyDescent="0.3">
      <c r="A181" s="244">
        <v>180</v>
      </c>
      <c r="B181" s="196" t="s">
        <v>446</v>
      </c>
      <c r="C181" s="197">
        <v>45170</v>
      </c>
      <c r="D181" s="196"/>
      <c r="E181" s="198" t="s">
        <v>468</v>
      </c>
      <c r="F181" s="199">
        <v>45170</v>
      </c>
      <c r="G181" s="200">
        <v>45170</v>
      </c>
      <c r="H181" s="201" t="s">
        <v>829</v>
      </c>
      <c r="J181" s="203" t="s">
        <v>449</v>
      </c>
      <c r="K181" s="204" t="s">
        <v>830</v>
      </c>
      <c r="L181" s="241">
        <v>617.1</v>
      </c>
      <c r="M181" s="215">
        <v>45191</v>
      </c>
      <c r="O181" s="5" t="s">
        <v>89</v>
      </c>
      <c r="P181" s="194" t="s">
        <v>907</v>
      </c>
      <c r="Q181" s="194" t="s">
        <v>918</v>
      </c>
    </row>
    <row r="182" spans="1:17" hidden="1" x14ac:dyDescent="0.3">
      <c r="A182" s="244">
        <v>181</v>
      </c>
      <c r="B182" s="196" t="s">
        <v>446</v>
      </c>
      <c r="C182" s="197">
        <v>45170</v>
      </c>
      <c r="D182" s="196"/>
      <c r="E182" s="198" t="s">
        <v>618</v>
      </c>
      <c r="F182" s="199">
        <v>45170</v>
      </c>
      <c r="G182" s="200">
        <v>45170</v>
      </c>
      <c r="H182" s="201" t="s">
        <v>831</v>
      </c>
      <c r="J182" s="203" t="s">
        <v>449</v>
      </c>
      <c r="K182" s="204" t="s">
        <v>832</v>
      </c>
      <c r="L182" s="241">
        <v>598.95000000000005</v>
      </c>
      <c r="M182" s="215">
        <v>45191</v>
      </c>
      <c r="O182" s="194" t="s">
        <v>89</v>
      </c>
      <c r="P182" s="194" t="s">
        <v>915</v>
      </c>
      <c r="Q182" s="194" t="s">
        <v>918</v>
      </c>
    </row>
    <row r="183" spans="1:17" hidden="1" x14ac:dyDescent="0.3">
      <c r="A183" s="244">
        <v>182</v>
      </c>
      <c r="B183" s="196" t="s">
        <v>446</v>
      </c>
      <c r="C183" s="197">
        <v>45176</v>
      </c>
      <c r="D183" s="196"/>
      <c r="E183" s="209" t="s">
        <v>451</v>
      </c>
      <c r="F183" s="199">
        <v>45169</v>
      </c>
      <c r="G183" s="200">
        <v>45169</v>
      </c>
      <c r="H183" s="201" t="s">
        <v>833</v>
      </c>
      <c r="J183" s="203" t="s">
        <v>449</v>
      </c>
      <c r="K183" s="204" t="s">
        <v>834</v>
      </c>
      <c r="L183" s="241">
        <v>1205.76</v>
      </c>
      <c r="M183" s="203" t="s">
        <v>454</v>
      </c>
      <c r="O183" s="194" t="s">
        <v>901</v>
      </c>
      <c r="P183" s="194" t="s">
        <v>910</v>
      </c>
    </row>
    <row r="184" spans="1:17" hidden="1" x14ac:dyDescent="0.3">
      <c r="A184" s="244">
        <v>183</v>
      </c>
      <c r="B184" s="196" t="s">
        <v>446</v>
      </c>
      <c r="C184" s="197">
        <v>45176</v>
      </c>
      <c r="D184" s="196"/>
      <c r="E184" s="209" t="s">
        <v>451</v>
      </c>
      <c r="F184" s="199">
        <v>45169</v>
      </c>
      <c r="G184" s="200">
        <v>45169</v>
      </c>
      <c r="H184" s="201" t="s">
        <v>835</v>
      </c>
      <c r="J184" s="203" t="s">
        <v>449</v>
      </c>
      <c r="K184" s="204" t="s">
        <v>510</v>
      </c>
      <c r="L184" s="241">
        <v>20.39</v>
      </c>
      <c r="M184" s="203" t="s">
        <v>454</v>
      </c>
      <c r="O184" s="5" t="s">
        <v>144</v>
      </c>
    </row>
    <row r="185" spans="1:17" hidden="1" x14ac:dyDescent="0.3">
      <c r="A185" s="244">
        <v>184</v>
      </c>
      <c r="B185" s="196" t="s">
        <v>446</v>
      </c>
      <c r="C185" s="197">
        <v>45176</v>
      </c>
      <c r="D185" s="196"/>
      <c r="E185" s="198" t="s">
        <v>647</v>
      </c>
      <c r="F185" s="199">
        <v>45169</v>
      </c>
      <c r="G185" s="200">
        <v>45169</v>
      </c>
      <c r="H185" s="201" t="s">
        <v>836</v>
      </c>
      <c r="J185" s="203" t="s">
        <v>449</v>
      </c>
      <c r="K185" s="204" t="s">
        <v>837</v>
      </c>
      <c r="L185" s="241">
        <v>188.45</v>
      </c>
      <c r="M185" s="203" t="s">
        <v>454</v>
      </c>
      <c r="O185" s="194" t="s">
        <v>901</v>
      </c>
      <c r="P185" s="194" t="s">
        <v>905</v>
      </c>
    </row>
    <row r="186" spans="1:17" hidden="1" x14ac:dyDescent="0.3">
      <c r="A186" s="244">
        <v>185</v>
      </c>
      <c r="B186" s="196" t="s">
        <v>446</v>
      </c>
      <c r="C186" s="197">
        <v>45173</v>
      </c>
      <c r="D186" s="196"/>
      <c r="E186" s="198" t="s">
        <v>562</v>
      </c>
      <c r="F186" s="199">
        <v>45166</v>
      </c>
      <c r="G186" s="200">
        <v>45166</v>
      </c>
      <c r="H186" s="201" t="s">
        <v>838</v>
      </c>
      <c r="J186" s="203" t="s">
        <v>449</v>
      </c>
      <c r="K186" s="204" t="s">
        <v>839</v>
      </c>
      <c r="L186" s="241">
        <v>72.98</v>
      </c>
      <c r="M186" s="215">
        <v>45191</v>
      </c>
      <c r="O186" s="5" t="s">
        <v>73</v>
      </c>
    </row>
    <row r="187" spans="1:17" hidden="1" x14ac:dyDescent="0.3">
      <c r="A187" s="244">
        <v>186</v>
      </c>
      <c r="B187" s="196" t="s">
        <v>446</v>
      </c>
      <c r="C187" s="197">
        <v>45173</v>
      </c>
      <c r="D187" s="196"/>
      <c r="E187" s="198" t="s">
        <v>562</v>
      </c>
      <c r="F187" s="199">
        <v>45163</v>
      </c>
      <c r="G187" s="200">
        <v>45163</v>
      </c>
      <c r="H187" s="201" t="s">
        <v>840</v>
      </c>
      <c r="J187" s="203" t="s">
        <v>449</v>
      </c>
      <c r="K187" s="204" t="s">
        <v>718</v>
      </c>
      <c r="L187" s="241">
        <v>343.82</v>
      </c>
      <c r="M187" s="215">
        <v>45191</v>
      </c>
      <c r="O187" s="5" t="s">
        <v>73</v>
      </c>
    </row>
    <row r="188" spans="1:17" hidden="1" x14ac:dyDescent="0.3">
      <c r="A188" s="244">
        <v>187</v>
      </c>
      <c r="B188" s="196" t="s">
        <v>446</v>
      </c>
      <c r="C188" s="197">
        <v>45174</v>
      </c>
      <c r="D188" s="196"/>
      <c r="E188" s="198" t="s">
        <v>562</v>
      </c>
      <c r="F188" s="199">
        <v>45170</v>
      </c>
      <c r="G188" s="200">
        <v>45170</v>
      </c>
      <c r="H188" s="201" t="s">
        <v>841</v>
      </c>
      <c r="J188" s="203" t="s">
        <v>449</v>
      </c>
      <c r="K188" s="204" t="s">
        <v>74</v>
      </c>
      <c r="L188" s="241">
        <v>62.68</v>
      </c>
      <c r="M188" s="215">
        <v>45191</v>
      </c>
      <c r="O188" s="5" t="s">
        <v>73</v>
      </c>
    </row>
    <row r="189" spans="1:17" hidden="1" x14ac:dyDescent="0.3">
      <c r="A189" s="244">
        <v>188</v>
      </c>
      <c r="B189" s="196" t="s">
        <v>446</v>
      </c>
      <c r="C189" s="197">
        <v>45175</v>
      </c>
      <c r="D189" s="196"/>
      <c r="E189" s="198" t="s">
        <v>513</v>
      </c>
      <c r="F189" s="199">
        <v>45173</v>
      </c>
      <c r="G189" s="200">
        <v>45173</v>
      </c>
      <c r="H189" s="201" t="s">
        <v>842</v>
      </c>
      <c r="J189" s="203" t="s">
        <v>449</v>
      </c>
      <c r="K189" s="204" t="s">
        <v>843</v>
      </c>
      <c r="L189" s="241">
        <v>31.46</v>
      </c>
      <c r="M189" s="203" t="s">
        <v>454</v>
      </c>
      <c r="O189" s="5" t="s">
        <v>64</v>
      </c>
    </row>
    <row r="190" spans="1:17" hidden="1" x14ac:dyDescent="0.3">
      <c r="A190" s="244">
        <v>189</v>
      </c>
      <c r="B190" s="196" t="s">
        <v>446</v>
      </c>
      <c r="C190" s="197">
        <v>45173</v>
      </c>
      <c r="D190" s="196"/>
      <c r="E190" s="198" t="s">
        <v>463</v>
      </c>
      <c r="F190" s="199">
        <v>45173</v>
      </c>
      <c r="G190" s="200">
        <v>45173</v>
      </c>
      <c r="H190" s="201" t="s">
        <v>844</v>
      </c>
      <c r="J190" s="203" t="s">
        <v>449</v>
      </c>
      <c r="K190" s="204" t="s">
        <v>721</v>
      </c>
      <c r="L190" s="241">
        <v>83.61</v>
      </c>
      <c r="M190" s="215">
        <v>45191</v>
      </c>
      <c r="O190" s="5" t="s">
        <v>64</v>
      </c>
    </row>
    <row r="191" spans="1:17" hidden="1" x14ac:dyDescent="0.3">
      <c r="A191" s="244">
        <v>190</v>
      </c>
      <c r="B191" s="196" t="s">
        <v>446</v>
      </c>
      <c r="C191" s="197">
        <v>45181</v>
      </c>
      <c r="D191" s="196"/>
      <c r="E191" s="198" t="s">
        <v>562</v>
      </c>
      <c r="F191" s="199">
        <v>45175</v>
      </c>
      <c r="G191" s="200">
        <v>45175</v>
      </c>
      <c r="H191" s="201" t="s">
        <v>845</v>
      </c>
      <c r="J191" s="203" t="s">
        <v>449</v>
      </c>
      <c r="K191" s="204" t="s">
        <v>846</v>
      </c>
      <c r="L191" s="241">
        <v>120.65</v>
      </c>
      <c r="M191" s="215">
        <v>45191</v>
      </c>
      <c r="O191" s="5" t="s">
        <v>73</v>
      </c>
    </row>
    <row r="192" spans="1:17" hidden="1" x14ac:dyDescent="0.3">
      <c r="A192" s="244">
        <v>191</v>
      </c>
      <c r="B192" s="196" t="s">
        <v>446</v>
      </c>
      <c r="C192" s="197">
        <v>45184</v>
      </c>
      <c r="D192" s="196"/>
      <c r="E192" s="198" t="s">
        <v>595</v>
      </c>
      <c r="F192" s="199">
        <v>45183</v>
      </c>
      <c r="G192" s="199">
        <v>45183</v>
      </c>
      <c r="H192" s="201" t="s">
        <v>847</v>
      </c>
      <c r="J192" s="203" t="s">
        <v>449</v>
      </c>
      <c r="K192" s="204" t="s">
        <v>848</v>
      </c>
      <c r="L192" s="241">
        <v>292.08999999999997</v>
      </c>
      <c r="M192" s="215">
        <v>45205</v>
      </c>
      <c r="O192" s="5" t="s">
        <v>142</v>
      </c>
    </row>
    <row r="193" spans="1:17" hidden="1" x14ac:dyDescent="0.3">
      <c r="A193" s="244">
        <v>192</v>
      </c>
      <c r="B193" s="196" t="s">
        <v>446</v>
      </c>
      <c r="C193" s="197">
        <v>45187</v>
      </c>
      <c r="D193" s="196"/>
      <c r="E193" s="198" t="s">
        <v>501</v>
      </c>
      <c r="F193" s="199">
        <v>45171</v>
      </c>
      <c r="G193" s="199">
        <v>45171</v>
      </c>
      <c r="H193" s="201" t="s">
        <v>730</v>
      </c>
      <c r="J193" s="203" t="s">
        <v>449</v>
      </c>
      <c r="K193" s="204" t="s">
        <v>508</v>
      </c>
      <c r="L193" s="241">
        <v>71.959999999999994</v>
      </c>
      <c r="M193" s="215">
        <v>45205</v>
      </c>
      <c r="O193" s="5" t="s">
        <v>10</v>
      </c>
    </row>
    <row r="194" spans="1:17" hidden="1" x14ac:dyDescent="0.3">
      <c r="A194" s="244">
        <v>193</v>
      </c>
      <c r="B194" s="196" t="s">
        <v>446</v>
      </c>
      <c r="C194" s="197">
        <v>45187</v>
      </c>
      <c r="D194" s="196"/>
      <c r="E194" s="198" t="s">
        <v>501</v>
      </c>
      <c r="F194" s="220" t="s">
        <v>849</v>
      </c>
      <c r="G194" s="220" t="s">
        <v>849</v>
      </c>
      <c r="H194" s="201" t="s">
        <v>850</v>
      </c>
      <c r="J194" s="203" t="s">
        <v>449</v>
      </c>
      <c r="K194" s="204" t="s">
        <v>503</v>
      </c>
      <c r="L194" s="241">
        <v>684.22</v>
      </c>
      <c r="M194" s="215">
        <v>45205</v>
      </c>
      <c r="O194" s="5" t="s">
        <v>100</v>
      </c>
    </row>
    <row r="195" spans="1:17" hidden="1" x14ac:dyDescent="0.3">
      <c r="A195" s="244">
        <v>194</v>
      </c>
      <c r="B195" s="196" t="s">
        <v>446</v>
      </c>
      <c r="C195" s="197">
        <v>45190</v>
      </c>
      <c r="D195" s="196"/>
      <c r="E195" s="198" t="s">
        <v>479</v>
      </c>
      <c r="F195" s="199">
        <v>45188</v>
      </c>
      <c r="G195" s="199">
        <v>45188</v>
      </c>
      <c r="H195" s="201" t="s">
        <v>851</v>
      </c>
      <c r="J195" s="203" t="s">
        <v>449</v>
      </c>
      <c r="K195" s="204" t="s">
        <v>852</v>
      </c>
      <c r="L195" s="241">
        <v>118.5</v>
      </c>
      <c r="M195" s="203" t="s">
        <v>454</v>
      </c>
      <c r="O195" s="5" t="s">
        <v>59</v>
      </c>
    </row>
    <row r="196" spans="1:17" hidden="1" x14ac:dyDescent="0.3">
      <c r="A196" s="244">
        <v>195</v>
      </c>
      <c r="B196" s="196" t="s">
        <v>446</v>
      </c>
      <c r="C196" s="197">
        <v>45191</v>
      </c>
      <c r="D196" s="196"/>
      <c r="E196" s="209" t="s">
        <v>451</v>
      </c>
      <c r="F196" s="199">
        <v>45187</v>
      </c>
      <c r="G196" s="199">
        <v>45187</v>
      </c>
      <c r="H196" s="201" t="s">
        <v>853</v>
      </c>
      <c r="J196" s="203" t="s">
        <v>449</v>
      </c>
      <c r="K196" s="204" t="s">
        <v>854</v>
      </c>
      <c r="L196" s="241">
        <v>52616.43</v>
      </c>
      <c r="M196" s="203" t="s">
        <v>454</v>
      </c>
      <c r="O196" s="194" t="s">
        <v>901</v>
      </c>
      <c r="P196" s="194" t="s">
        <v>909</v>
      </c>
    </row>
    <row r="197" spans="1:17" hidden="1" x14ac:dyDescent="0.3">
      <c r="A197" s="244">
        <v>196</v>
      </c>
      <c r="B197" s="196" t="s">
        <v>446</v>
      </c>
      <c r="C197" s="197">
        <v>45197</v>
      </c>
      <c r="D197" s="196"/>
      <c r="E197" s="198" t="s">
        <v>618</v>
      </c>
      <c r="F197" s="199">
        <v>45078</v>
      </c>
      <c r="G197" s="200">
        <v>45078</v>
      </c>
      <c r="H197" s="201" t="s">
        <v>855</v>
      </c>
      <c r="J197" s="203" t="s">
        <v>449</v>
      </c>
      <c r="K197" s="204" t="s">
        <v>856</v>
      </c>
      <c r="L197" s="241">
        <v>598.95000000000005</v>
      </c>
      <c r="M197" s="215">
        <v>45229</v>
      </c>
      <c r="O197" s="194" t="s">
        <v>89</v>
      </c>
      <c r="P197" s="194" t="s">
        <v>915</v>
      </c>
      <c r="Q197" s="194" t="s">
        <v>918</v>
      </c>
    </row>
    <row r="198" spans="1:17" hidden="1" x14ac:dyDescent="0.3">
      <c r="A198" s="244">
        <v>197</v>
      </c>
      <c r="B198" s="196" t="s">
        <v>446</v>
      </c>
      <c r="C198" s="197">
        <v>45197</v>
      </c>
      <c r="D198" s="196"/>
      <c r="E198" s="198" t="s">
        <v>657</v>
      </c>
      <c r="F198" s="199">
        <v>45197</v>
      </c>
      <c r="G198" s="200">
        <v>45197</v>
      </c>
      <c r="H198" s="201" t="s">
        <v>857</v>
      </c>
      <c r="J198" s="203" t="s">
        <v>449</v>
      </c>
      <c r="K198" s="204" t="s">
        <v>858</v>
      </c>
      <c r="L198" s="241">
        <v>89.54</v>
      </c>
      <c r="M198" s="203" t="s">
        <v>454</v>
      </c>
      <c r="O198" s="194" t="s">
        <v>89</v>
      </c>
      <c r="P198" s="194" t="s">
        <v>906</v>
      </c>
      <c r="Q198" s="194" t="s">
        <v>918</v>
      </c>
    </row>
    <row r="199" spans="1:17" hidden="1" x14ac:dyDescent="0.3">
      <c r="A199" s="244">
        <v>198</v>
      </c>
      <c r="B199" s="196" t="s">
        <v>446</v>
      </c>
      <c r="C199" s="197">
        <v>45198</v>
      </c>
      <c r="D199" s="196"/>
      <c r="E199" s="198" t="s">
        <v>458</v>
      </c>
      <c r="F199" s="199">
        <v>45200</v>
      </c>
      <c r="G199" s="200">
        <v>45200</v>
      </c>
      <c r="H199" s="201" t="s">
        <v>859</v>
      </c>
      <c r="J199" s="203" t="s">
        <v>449</v>
      </c>
      <c r="K199" s="204" t="s">
        <v>860</v>
      </c>
      <c r="L199" s="241">
        <v>2376.19</v>
      </c>
      <c r="M199" s="215">
        <v>45229</v>
      </c>
      <c r="O199" s="178" t="s">
        <v>48</v>
      </c>
    </row>
    <row r="200" spans="1:17" hidden="1" x14ac:dyDescent="0.3">
      <c r="A200" s="244">
        <v>199</v>
      </c>
      <c r="B200" s="196" t="s">
        <v>446</v>
      </c>
      <c r="C200" s="197">
        <v>45198</v>
      </c>
      <c r="D200" s="196"/>
      <c r="E200" s="198" t="s">
        <v>458</v>
      </c>
      <c r="F200" s="199">
        <v>45200</v>
      </c>
      <c r="G200" s="200">
        <v>45200</v>
      </c>
      <c r="H200" s="201" t="s">
        <v>861</v>
      </c>
      <c r="J200" s="203" t="s">
        <v>449</v>
      </c>
      <c r="K200" s="204" t="s">
        <v>862</v>
      </c>
      <c r="L200" s="241">
        <v>307.91000000000003</v>
      </c>
      <c r="M200" s="215">
        <v>45229</v>
      </c>
      <c r="O200" s="178" t="s">
        <v>48</v>
      </c>
    </row>
    <row r="201" spans="1:17" hidden="1" x14ac:dyDescent="0.3">
      <c r="A201" s="244">
        <v>200</v>
      </c>
      <c r="B201" s="196" t="s">
        <v>446</v>
      </c>
      <c r="C201" s="197">
        <v>45198</v>
      </c>
      <c r="D201" s="196"/>
      <c r="E201" s="198" t="s">
        <v>794</v>
      </c>
      <c r="F201" s="199">
        <v>45200</v>
      </c>
      <c r="G201" s="200">
        <v>45200</v>
      </c>
      <c r="H201" s="201" t="s">
        <v>863</v>
      </c>
      <c r="J201" s="203" t="s">
        <v>449</v>
      </c>
      <c r="K201" s="204" t="s">
        <v>864</v>
      </c>
      <c r="L201" s="241">
        <v>445</v>
      </c>
      <c r="M201" s="215">
        <v>45229</v>
      </c>
      <c r="O201" s="178" t="s">
        <v>48</v>
      </c>
    </row>
    <row r="202" spans="1:17" hidden="1" x14ac:dyDescent="0.3">
      <c r="A202" s="244">
        <v>201</v>
      </c>
      <c r="B202" s="196" t="s">
        <v>446</v>
      </c>
      <c r="C202" s="197">
        <v>45202</v>
      </c>
      <c r="D202" s="196"/>
      <c r="E202" s="198" t="s">
        <v>468</v>
      </c>
      <c r="F202" s="199">
        <v>45200</v>
      </c>
      <c r="G202" s="200">
        <v>45200</v>
      </c>
      <c r="H202" s="201" t="s">
        <v>865</v>
      </c>
      <c r="J202" s="203" t="s">
        <v>449</v>
      </c>
      <c r="K202" s="204" t="s">
        <v>866</v>
      </c>
      <c r="L202" s="241">
        <v>617.1</v>
      </c>
      <c r="M202" s="215">
        <v>45229</v>
      </c>
      <c r="O202" s="5" t="s">
        <v>89</v>
      </c>
      <c r="P202" s="194" t="s">
        <v>907</v>
      </c>
      <c r="Q202" s="194" t="s">
        <v>918</v>
      </c>
    </row>
    <row r="203" spans="1:17" hidden="1" x14ac:dyDescent="0.3">
      <c r="A203" s="244">
        <v>202</v>
      </c>
      <c r="B203" s="196" t="s">
        <v>446</v>
      </c>
      <c r="C203" s="197">
        <v>45204</v>
      </c>
      <c r="D203" s="196"/>
      <c r="E203" s="198" t="s">
        <v>513</v>
      </c>
      <c r="F203" s="199">
        <v>45202</v>
      </c>
      <c r="G203" s="200">
        <v>45202</v>
      </c>
      <c r="H203" s="203">
        <v>7306198105</v>
      </c>
      <c r="J203" s="203" t="s">
        <v>449</v>
      </c>
      <c r="K203" s="204" t="s">
        <v>721</v>
      </c>
      <c r="L203" s="241">
        <v>83.29</v>
      </c>
      <c r="M203" s="215">
        <v>45229</v>
      </c>
      <c r="O203" s="5" t="s">
        <v>64</v>
      </c>
    </row>
    <row r="204" spans="1:17" hidden="1" x14ac:dyDescent="0.3">
      <c r="A204" s="244">
        <v>203</v>
      </c>
      <c r="B204" s="196" t="s">
        <v>446</v>
      </c>
      <c r="C204" s="197">
        <v>45204</v>
      </c>
      <c r="D204" s="196"/>
      <c r="E204" s="198" t="s">
        <v>513</v>
      </c>
      <c r="F204" s="199">
        <v>45202</v>
      </c>
      <c r="G204" s="200">
        <v>45202</v>
      </c>
      <c r="H204" s="203">
        <v>7306198088</v>
      </c>
      <c r="J204" s="203" t="s">
        <v>449</v>
      </c>
      <c r="K204" s="204" t="s">
        <v>465</v>
      </c>
      <c r="L204" s="241">
        <v>31.46</v>
      </c>
      <c r="M204" s="203" t="s">
        <v>454</v>
      </c>
      <c r="O204" s="5" t="s">
        <v>64</v>
      </c>
    </row>
    <row r="205" spans="1:17" x14ac:dyDescent="0.3">
      <c r="A205" s="244">
        <v>204</v>
      </c>
      <c r="B205" s="196" t="s">
        <v>446</v>
      </c>
      <c r="C205" s="197">
        <v>45204</v>
      </c>
      <c r="D205" s="196"/>
      <c r="E205" s="198" t="s">
        <v>517</v>
      </c>
      <c r="F205" s="199">
        <v>45199</v>
      </c>
      <c r="G205" s="200">
        <v>45229</v>
      </c>
      <c r="H205" s="201" t="s">
        <v>867</v>
      </c>
      <c r="J205" s="203" t="s">
        <v>449</v>
      </c>
      <c r="K205" s="204" t="s">
        <v>868</v>
      </c>
      <c r="L205" s="241">
        <v>2420</v>
      </c>
      <c r="M205" s="215">
        <v>45229</v>
      </c>
      <c r="O205" s="5" t="s">
        <v>149</v>
      </c>
    </row>
    <row r="206" spans="1:17" hidden="1" x14ac:dyDescent="0.3">
      <c r="A206" s="244">
        <v>205</v>
      </c>
      <c r="B206" s="196" t="s">
        <v>446</v>
      </c>
      <c r="C206" s="224">
        <v>45209</v>
      </c>
      <c r="E206" s="198" t="s">
        <v>562</v>
      </c>
      <c r="F206" s="199">
        <v>45205</v>
      </c>
      <c r="G206" s="200">
        <v>45205</v>
      </c>
      <c r="H206" s="201" t="s">
        <v>869</v>
      </c>
      <c r="J206" s="203" t="s">
        <v>449</v>
      </c>
      <c r="K206" s="204" t="s">
        <v>846</v>
      </c>
      <c r="L206" s="241">
        <v>275.7</v>
      </c>
      <c r="M206" s="215">
        <v>45246</v>
      </c>
      <c r="O206" s="5" t="s">
        <v>73</v>
      </c>
    </row>
    <row r="207" spans="1:17" hidden="1" x14ac:dyDescent="0.3">
      <c r="A207" s="244">
        <v>206</v>
      </c>
      <c r="B207" s="196" t="s">
        <v>446</v>
      </c>
      <c r="C207" s="197">
        <v>45209</v>
      </c>
      <c r="D207" s="196"/>
      <c r="E207" s="198" t="s">
        <v>471</v>
      </c>
      <c r="F207" s="199">
        <v>45169</v>
      </c>
      <c r="G207" s="200">
        <v>45169</v>
      </c>
      <c r="H207" s="201" t="s">
        <v>870</v>
      </c>
      <c r="J207" s="203" t="s">
        <v>449</v>
      </c>
      <c r="K207" s="204" t="s">
        <v>871</v>
      </c>
      <c r="L207" s="241">
        <v>493.18</v>
      </c>
      <c r="M207" s="215">
        <v>45246</v>
      </c>
      <c r="O207" s="5" t="s">
        <v>10</v>
      </c>
    </row>
    <row r="208" spans="1:17" hidden="1" x14ac:dyDescent="0.3">
      <c r="A208" s="244">
        <v>207</v>
      </c>
      <c r="B208" s="196" t="s">
        <v>446</v>
      </c>
      <c r="C208" s="197">
        <v>45210</v>
      </c>
      <c r="D208" s="196"/>
      <c r="E208" s="198" t="s">
        <v>471</v>
      </c>
      <c r="F208" s="199">
        <v>45199</v>
      </c>
      <c r="G208" s="200">
        <v>45199</v>
      </c>
      <c r="H208" s="201" t="s">
        <v>872</v>
      </c>
      <c r="J208" s="203" t="s">
        <v>449</v>
      </c>
      <c r="K208" s="204" t="s">
        <v>873</v>
      </c>
      <c r="L208" s="241">
        <v>493.18</v>
      </c>
      <c r="M208" s="215">
        <v>45246</v>
      </c>
      <c r="O208" s="5" t="s">
        <v>10</v>
      </c>
    </row>
    <row r="209" spans="1:18" hidden="1" x14ac:dyDescent="0.3">
      <c r="A209" s="244">
        <v>208</v>
      </c>
      <c r="B209" s="196" t="s">
        <v>446</v>
      </c>
      <c r="C209" s="197">
        <v>45210</v>
      </c>
      <c r="D209" s="196"/>
      <c r="E209" s="198" t="s">
        <v>451</v>
      </c>
      <c r="F209" s="199">
        <v>45199</v>
      </c>
      <c r="G209" s="200">
        <v>45199</v>
      </c>
      <c r="H209" s="201" t="s">
        <v>874</v>
      </c>
      <c r="J209" s="203" t="s">
        <v>449</v>
      </c>
      <c r="K209" s="204" t="s">
        <v>875</v>
      </c>
      <c r="L209" s="241">
        <v>1331</v>
      </c>
      <c r="M209" s="215">
        <v>45246</v>
      </c>
      <c r="O209" s="5" t="s">
        <v>144</v>
      </c>
    </row>
    <row r="210" spans="1:18" hidden="1" x14ac:dyDescent="0.3">
      <c r="A210" s="244">
        <v>209</v>
      </c>
      <c r="B210" s="196" t="s">
        <v>446</v>
      </c>
      <c r="C210" s="197">
        <v>45210</v>
      </c>
      <c r="D210" s="196"/>
      <c r="E210" s="198" t="s">
        <v>451</v>
      </c>
      <c r="F210" s="199">
        <v>45199</v>
      </c>
      <c r="G210" s="200">
        <v>45199</v>
      </c>
      <c r="H210" s="201" t="s">
        <v>876</v>
      </c>
      <c r="J210" s="203" t="s">
        <v>449</v>
      </c>
      <c r="K210" s="204" t="s">
        <v>877</v>
      </c>
      <c r="L210" s="241">
        <v>1205.76</v>
      </c>
      <c r="M210" s="203" t="s">
        <v>454</v>
      </c>
      <c r="O210" s="194" t="s">
        <v>901</v>
      </c>
      <c r="P210" s="194" t="s">
        <v>910</v>
      </c>
    </row>
    <row r="211" spans="1:18" hidden="1" x14ac:dyDescent="0.3">
      <c r="A211" s="244">
        <v>210</v>
      </c>
      <c r="B211" s="196" t="s">
        <v>446</v>
      </c>
      <c r="C211" s="197">
        <v>45210</v>
      </c>
      <c r="D211" s="196"/>
      <c r="E211" s="198" t="s">
        <v>451</v>
      </c>
      <c r="F211" s="199">
        <v>45199</v>
      </c>
      <c r="G211" s="200">
        <v>45199</v>
      </c>
      <c r="H211" s="201" t="s">
        <v>878</v>
      </c>
      <c r="J211" s="203" t="s">
        <v>449</v>
      </c>
      <c r="K211" s="204" t="s">
        <v>879</v>
      </c>
      <c r="L211" s="241">
        <v>20.39</v>
      </c>
      <c r="M211" s="203" t="s">
        <v>454</v>
      </c>
      <c r="O211" s="5" t="s">
        <v>144</v>
      </c>
    </row>
    <row r="212" spans="1:18" hidden="1" x14ac:dyDescent="0.3">
      <c r="A212" s="244">
        <v>211</v>
      </c>
      <c r="B212" s="196" t="s">
        <v>446</v>
      </c>
      <c r="C212" s="197">
        <v>45210</v>
      </c>
      <c r="D212" s="196"/>
      <c r="E212" s="198" t="s">
        <v>447</v>
      </c>
      <c r="F212" s="199">
        <v>45175</v>
      </c>
      <c r="G212" s="200">
        <v>45175</v>
      </c>
      <c r="H212" s="201" t="s">
        <v>880</v>
      </c>
      <c r="J212" s="203" t="s">
        <v>449</v>
      </c>
      <c r="K212" s="204" t="s">
        <v>881</v>
      </c>
      <c r="L212" s="241">
        <v>53.71</v>
      </c>
      <c r="M212" s="215">
        <v>45246</v>
      </c>
      <c r="O212" s="194" t="s">
        <v>901</v>
      </c>
      <c r="P212" s="194" t="s">
        <v>903</v>
      </c>
    </row>
    <row r="213" spans="1:18" hidden="1" x14ac:dyDescent="0.3">
      <c r="A213" s="244">
        <v>212</v>
      </c>
      <c r="B213" s="196" t="s">
        <v>446</v>
      </c>
      <c r="C213" s="197">
        <v>45220</v>
      </c>
      <c r="D213" s="196"/>
      <c r="E213" s="198" t="s">
        <v>479</v>
      </c>
      <c r="F213" s="199">
        <v>45218</v>
      </c>
      <c r="G213" s="200">
        <v>45218</v>
      </c>
      <c r="H213" s="201" t="s">
        <v>882</v>
      </c>
      <c r="J213" s="203" t="s">
        <v>449</v>
      </c>
      <c r="K213" s="204" t="s">
        <v>743</v>
      </c>
      <c r="L213" s="241">
        <v>118.5</v>
      </c>
      <c r="M213" s="203" t="s">
        <v>454</v>
      </c>
      <c r="O213" s="5" t="s">
        <v>59</v>
      </c>
    </row>
    <row r="214" spans="1:18" hidden="1" x14ac:dyDescent="0.3">
      <c r="A214" s="244">
        <v>213</v>
      </c>
      <c r="B214" s="196" t="s">
        <v>446</v>
      </c>
      <c r="C214" s="197">
        <v>45222</v>
      </c>
      <c r="D214" s="196"/>
      <c r="E214" s="198" t="s">
        <v>474</v>
      </c>
      <c r="F214" s="199">
        <v>45211</v>
      </c>
      <c r="G214" s="200">
        <v>45247</v>
      </c>
      <c r="H214" s="201" t="s">
        <v>883</v>
      </c>
      <c r="J214" s="203" t="s">
        <v>449</v>
      </c>
      <c r="K214" s="204" t="s">
        <v>560</v>
      </c>
      <c r="L214" s="241">
        <v>47533.64</v>
      </c>
      <c r="M214" s="215">
        <v>45246</v>
      </c>
      <c r="O214" s="178" t="s">
        <v>84</v>
      </c>
    </row>
    <row r="215" spans="1:18" hidden="1" x14ac:dyDescent="0.3">
      <c r="A215" s="244">
        <v>214</v>
      </c>
      <c r="B215" s="196" t="s">
        <v>446</v>
      </c>
      <c r="C215" s="197">
        <v>45222</v>
      </c>
      <c r="D215" s="196"/>
      <c r="E215" s="198" t="s">
        <v>639</v>
      </c>
      <c r="F215" s="199">
        <v>45199</v>
      </c>
      <c r="G215" s="200">
        <v>45199</v>
      </c>
      <c r="H215" s="201" t="s">
        <v>884</v>
      </c>
      <c r="J215" s="203" t="s">
        <v>449</v>
      </c>
      <c r="K215" s="204" t="s">
        <v>881</v>
      </c>
      <c r="L215" s="241">
        <v>189.35</v>
      </c>
      <c r="M215" s="215">
        <v>45246</v>
      </c>
      <c r="O215" s="194" t="s">
        <v>55</v>
      </c>
    </row>
    <row r="216" spans="1:18" hidden="1" x14ac:dyDescent="0.3">
      <c r="A216" s="244">
        <v>215</v>
      </c>
      <c r="B216" s="196" t="s">
        <v>446</v>
      </c>
      <c r="C216" s="197">
        <v>45230</v>
      </c>
      <c r="D216" s="196"/>
      <c r="E216" s="198" t="s">
        <v>618</v>
      </c>
      <c r="F216" s="199">
        <v>45230</v>
      </c>
      <c r="G216" s="200">
        <v>45230</v>
      </c>
      <c r="H216" s="201" t="s">
        <v>885</v>
      </c>
      <c r="J216" s="203" t="s">
        <v>449</v>
      </c>
      <c r="K216" s="204" t="s">
        <v>886</v>
      </c>
      <c r="L216" s="241">
        <v>3853.85</v>
      </c>
      <c r="M216" s="215">
        <v>45246</v>
      </c>
      <c r="O216" s="238" t="s">
        <v>23</v>
      </c>
      <c r="P216" s="194" t="s">
        <v>914</v>
      </c>
      <c r="Q216" s="194" t="s">
        <v>917</v>
      </c>
    </row>
    <row r="217" spans="1:18" hidden="1" x14ac:dyDescent="0.3">
      <c r="A217" s="244">
        <v>216</v>
      </c>
      <c r="B217" s="196" t="s">
        <v>446</v>
      </c>
      <c r="C217" s="197">
        <v>45230</v>
      </c>
      <c r="D217" s="196"/>
      <c r="E217" s="198" t="s">
        <v>887</v>
      </c>
      <c r="F217" s="199">
        <v>45231</v>
      </c>
      <c r="G217" s="200">
        <v>45231</v>
      </c>
      <c r="H217" s="201" t="s">
        <v>888</v>
      </c>
      <c r="J217" s="203" t="s">
        <v>449</v>
      </c>
      <c r="K217" s="204" t="s">
        <v>889</v>
      </c>
      <c r="L217" s="241">
        <v>2376.19</v>
      </c>
      <c r="M217" s="215">
        <v>45246</v>
      </c>
      <c r="O217" s="178" t="s">
        <v>48</v>
      </c>
    </row>
    <row r="218" spans="1:18" hidden="1" x14ac:dyDescent="0.3">
      <c r="A218" s="244">
        <v>217</v>
      </c>
      <c r="B218" s="196" t="s">
        <v>446</v>
      </c>
      <c r="C218" s="197">
        <v>45230</v>
      </c>
      <c r="D218" s="196"/>
      <c r="E218" s="198" t="s">
        <v>887</v>
      </c>
      <c r="F218" s="199">
        <v>45231</v>
      </c>
      <c r="G218" s="200">
        <v>45231</v>
      </c>
      <c r="H218" s="201" t="s">
        <v>890</v>
      </c>
      <c r="J218" s="203" t="s">
        <v>449</v>
      </c>
      <c r="K218" s="204" t="s">
        <v>891</v>
      </c>
      <c r="L218" s="241">
        <v>308.83</v>
      </c>
      <c r="M218" s="215">
        <v>45246</v>
      </c>
      <c r="O218" s="178" t="s">
        <v>48</v>
      </c>
    </row>
    <row r="219" spans="1:18" hidden="1" x14ac:dyDescent="0.3">
      <c r="A219" s="244">
        <v>218</v>
      </c>
      <c r="B219" s="196" t="s">
        <v>446</v>
      </c>
      <c r="C219" s="197">
        <v>45230</v>
      </c>
      <c r="D219" s="196"/>
      <c r="E219" s="198" t="s">
        <v>794</v>
      </c>
      <c r="F219" s="199">
        <v>45231</v>
      </c>
      <c r="G219" s="200">
        <v>45231</v>
      </c>
      <c r="H219" s="201" t="s">
        <v>892</v>
      </c>
      <c r="J219" s="203" t="s">
        <v>449</v>
      </c>
      <c r="K219" s="204" t="s">
        <v>893</v>
      </c>
      <c r="L219" s="241">
        <v>445</v>
      </c>
      <c r="M219" s="215">
        <v>45246</v>
      </c>
      <c r="O219" s="178" t="s">
        <v>48</v>
      </c>
    </row>
    <row r="220" spans="1:18" hidden="1" x14ac:dyDescent="0.3">
      <c r="A220" s="244">
        <v>219</v>
      </c>
      <c r="B220" s="196" t="s">
        <v>446</v>
      </c>
      <c r="C220" s="197">
        <v>45236</v>
      </c>
      <c r="D220" s="196"/>
      <c r="E220" s="198" t="s">
        <v>468</v>
      </c>
      <c r="F220" s="199">
        <v>45236</v>
      </c>
      <c r="G220" s="200">
        <v>45236</v>
      </c>
      <c r="H220" s="201" t="s">
        <v>894</v>
      </c>
      <c r="J220" s="203" t="s">
        <v>449</v>
      </c>
      <c r="K220" s="204" t="s">
        <v>895</v>
      </c>
      <c r="L220" s="241">
        <v>617.1</v>
      </c>
      <c r="M220" s="215">
        <v>45246</v>
      </c>
      <c r="O220" s="5" t="s">
        <v>89</v>
      </c>
      <c r="P220" s="194" t="s">
        <v>907</v>
      </c>
      <c r="Q220" s="194" t="s">
        <v>918</v>
      </c>
    </row>
    <row r="221" spans="1:18" hidden="1" x14ac:dyDescent="0.3">
      <c r="A221" s="244">
        <v>220</v>
      </c>
      <c r="B221" s="196" t="s">
        <v>446</v>
      </c>
      <c r="C221" s="197">
        <v>45236</v>
      </c>
      <c r="D221" s="196"/>
      <c r="E221" s="198" t="s">
        <v>657</v>
      </c>
      <c r="F221" s="199">
        <v>45227</v>
      </c>
      <c r="G221" s="200">
        <v>45227</v>
      </c>
      <c r="H221" s="201" t="s">
        <v>896</v>
      </c>
      <c r="J221" s="203" t="s">
        <v>449</v>
      </c>
      <c r="K221" s="204" t="s">
        <v>897</v>
      </c>
      <c r="L221" s="241">
        <v>428.1</v>
      </c>
      <c r="M221" s="203" t="s">
        <v>454</v>
      </c>
      <c r="O221" s="194" t="s">
        <v>89</v>
      </c>
      <c r="P221" s="194" t="s">
        <v>906</v>
      </c>
      <c r="Q221" s="194" t="s">
        <v>920</v>
      </c>
      <c r="R221" s="194" t="s">
        <v>921</v>
      </c>
    </row>
    <row r="222" spans="1:18" hidden="1" x14ac:dyDescent="0.3">
      <c r="A222" s="244">
        <v>221</v>
      </c>
      <c r="B222" s="196" t="s">
        <v>446</v>
      </c>
      <c r="C222" s="197">
        <v>45236</v>
      </c>
      <c r="D222" s="196"/>
      <c r="E222" s="198" t="s">
        <v>513</v>
      </c>
      <c r="F222" s="199">
        <v>45233</v>
      </c>
      <c r="G222" s="200">
        <v>45233</v>
      </c>
      <c r="H222" s="201" t="s">
        <v>898</v>
      </c>
      <c r="J222" s="203" t="s">
        <v>449</v>
      </c>
      <c r="K222" s="204" t="s">
        <v>465</v>
      </c>
      <c r="L222" s="241">
        <v>31.46</v>
      </c>
      <c r="M222" s="203" t="s">
        <v>454</v>
      </c>
      <c r="O222" s="5" t="s">
        <v>64</v>
      </c>
    </row>
    <row r="223" spans="1:18" hidden="1" x14ac:dyDescent="0.3">
      <c r="A223" s="244">
        <v>222</v>
      </c>
      <c r="B223" s="196" t="s">
        <v>446</v>
      </c>
      <c r="C223" s="197">
        <v>45236</v>
      </c>
      <c r="D223" s="196"/>
      <c r="E223" s="198" t="s">
        <v>513</v>
      </c>
      <c r="F223" s="199">
        <v>45233</v>
      </c>
      <c r="G223" s="200">
        <v>45233</v>
      </c>
      <c r="H223" s="201" t="s">
        <v>899</v>
      </c>
      <c r="J223" s="203" t="s">
        <v>449</v>
      </c>
      <c r="K223" s="204" t="s">
        <v>721</v>
      </c>
      <c r="L223" s="241">
        <v>82.77</v>
      </c>
      <c r="M223" s="215">
        <v>45246</v>
      </c>
      <c r="O223" s="5" t="s">
        <v>64</v>
      </c>
    </row>
    <row r="224" spans="1:18" x14ac:dyDescent="0.3">
      <c r="A224" s="195">
        <v>223</v>
      </c>
      <c r="B224" s="196"/>
      <c r="C224" s="198"/>
      <c r="D224" s="196"/>
    </row>
    <row r="225" spans="1:4" x14ac:dyDescent="0.3">
      <c r="A225" s="195">
        <v>224</v>
      </c>
      <c r="B225" s="196"/>
      <c r="C225" s="198"/>
      <c r="D225" s="196"/>
    </row>
    <row r="226" spans="1:4" x14ac:dyDescent="0.3">
      <c r="A226" s="195">
        <v>225</v>
      </c>
      <c r="B226" s="196"/>
      <c r="C226" s="198"/>
      <c r="D226" s="196"/>
    </row>
    <row r="227" spans="1:4" x14ac:dyDescent="0.3">
      <c r="A227" s="195">
        <v>226</v>
      </c>
      <c r="B227" s="196"/>
      <c r="C227" s="198"/>
      <c r="D227" s="196"/>
    </row>
    <row r="228" spans="1:4" x14ac:dyDescent="0.3">
      <c r="A228" s="195">
        <v>227</v>
      </c>
      <c r="B228" s="196"/>
      <c r="C228" s="198"/>
      <c r="D228" s="196"/>
    </row>
    <row r="229" spans="1:4" x14ac:dyDescent="0.3">
      <c r="A229" s="195">
        <v>228</v>
      </c>
      <c r="B229" s="196"/>
      <c r="C229" s="198"/>
      <c r="D229" s="196"/>
    </row>
    <row r="230" spans="1:4" x14ac:dyDescent="0.3">
      <c r="A230" s="195">
        <v>229</v>
      </c>
      <c r="B230" s="196"/>
      <c r="C230" s="198"/>
      <c r="D230" s="196"/>
    </row>
    <row r="231" spans="1:4" x14ac:dyDescent="0.3">
      <c r="A231" s="195">
        <v>230</v>
      </c>
      <c r="B231" s="196"/>
      <c r="C231" s="198"/>
      <c r="D231" s="196"/>
    </row>
    <row r="232" spans="1:4" x14ac:dyDescent="0.3">
      <c r="A232" s="195">
        <v>231</v>
      </c>
      <c r="B232" s="196"/>
      <c r="C232" s="198"/>
      <c r="D232" s="196"/>
    </row>
    <row r="233" spans="1:4" x14ac:dyDescent="0.3">
      <c r="A233" s="195">
        <v>232</v>
      </c>
      <c r="B233" s="196"/>
      <c r="C233" s="198"/>
      <c r="D233" s="196"/>
    </row>
    <row r="234" spans="1:4" x14ac:dyDescent="0.3">
      <c r="A234" s="195">
        <v>233</v>
      </c>
      <c r="B234" s="196"/>
      <c r="C234" s="198"/>
      <c r="D234" s="196"/>
    </row>
    <row r="235" spans="1:4" x14ac:dyDescent="0.3">
      <c r="A235" s="195">
        <v>234</v>
      </c>
      <c r="B235" s="196"/>
      <c r="C235" s="198"/>
      <c r="D235" s="196"/>
    </row>
    <row r="236" spans="1:4" x14ac:dyDescent="0.3">
      <c r="A236" s="195">
        <v>235</v>
      </c>
      <c r="B236" s="196"/>
      <c r="C236" s="198"/>
      <c r="D236" s="196"/>
    </row>
    <row r="237" spans="1:4" x14ac:dyDescent="0.3">
      <c r="A237" s="195">
        <v>236</v>
      </c>
      <c r="B237" s="196"/>
      <c r="C237" s="198"/>
      <c r="D237" s="196"/>
    </row>
    <row r="238" spans="1:4" x14ac:dyDescent="0.3">
      <c r="A238" s="195">
        <v>237</v>
      </c>
      <c r="B238" s="196"/>
      <c r="C238" s="198"/>
      <c r="D238" s="196"/>
    </row>
    <row r="239" spans="1:4" x14ac:dyDescent="0.3">
      <c r="A239" s="195">
        <v>238</v>
      </c>
      <c r="B239" s="196"/>
      <c r="C239" s="198"/>
      <c r="D239" s="196"/>
    </row>
    <row r="240" spans="1:4" x14ac:dyDescent="0.3">
      <c r="A240" s="195">
        <v>239</v>
      </c>
      <c r="B240" s="196"/>
      <c r="C240" s="198"/>
      <c r="D240" s="196"/>
    </row>
    <row r="241" spans="1:4" x14ac:dyDescent="0.3">
      <c r="A241" s="195">
        <v>240</v>
      </c>
      <c r="B241" s="196"/>
      <c r="C241" s="198"/>
      <c r="D241" s="196"/>
    </row>
    <row r="242" spans="1:4" x14ac:dyDescent="0.3">
      <c r="A242" s="195">
        <v>241</v>
      </c>
      <c r="B242" s="196"/>
      <c r="C242" s="198"/>
      <c r="D242" s="196"/>
    </row>
    <row r="243" spans="1:4" x14ac:dyDescent="0.3">
      <c r="A243" s="195">
        <v>242</v>
      </c>
      <c r="B243" s="196"/>
      <c r="C243" s="198"/>
      <c r="D243" s="196"/>
    </row>
    <row r="244" spans="1:4" x14ac:dyDescent="0.3">
      <c r="A244" s="195">
        <v>243</v>
      </c>
      <c r="B244" s="196"/>
      <c r="C244" s="198"/>
      <c r="D244" s="196"/>
    </row>
    <row r="245" spans="1:4" x14ac:dyDescent="0.3">
      <c r="A245" s="195">
        <v>244</v>
      </c>
      <c r="B245" s="196"/>
      <c r="C245" s="198"/>
      <c r="D245" s="196"/>
    </row>
    <row r="246" spans="1:4" x14ac:dyDescent="0.3">
      <c r="A246" s="195">
        <v>245</v>
      </c>
      <c r="B246" s="196"/>
      <c r="C246" s="198"/>
      <c r="D246" s="196"/>
    </row>
    <row r="247" spans="1:4" x14ac:dyDescent="0.3">
      <c r="A247" s="195">
        <v>246</v>
      </c>
      <c r="B247" s="196"/>
      <c r="C247" s="198"/>
      <c r="D247" s="196"/>
    </row>
    <row r="248" spans="1:4" x14ac:dyDescent="0.3">
      <c r="A248" s="195">
        <v>247</v>
      </c>
      <c r="B248" s="196"/>
      <c r="C248" s="198"/>
      <c r="D248" s="196"/>
    </row>
    <row r="249" spans="1:4" x14ac:dyDescent="0.3">
      <c r="A249" s="195">
        <v>248</v>
      </c>
      <c r="B249" s="196"/>
      <c r="C249" s="198"/>
      <c r="D249" s="196"/>
    </row>
    <row r="250" spans="1:4" x14ac:dyDescent="0.3">
      <c r="A250" s="195">
        <v>249</v>
      </c>
      <c r="B250" s="196"/>
      <c r="C250" s="198"/>
      <c r="D250" s="196"/>
    </row>
    <row r="251" spans="1:4" x14ac:dyDescent="0.3">
      <c r="A251" s="195">
        <v>250</v>
      </c>
      <c r="B251" s="196"/>
      <c r="C251" s="198"/>
      <c r="D251" s="196"/>
    </row>
    <row r="252" spans="1:4" x14ac:dyDescent="0.3">
      <c r="A252" s="195">
        <v>251</v>
      </c>
      <c r="B252" s="196"/>
      <c r="C252" s="198"/>
      <c r="D252" s="196"/>
    </row>
    <row r="253" spans="1:4" x14ac:dyDescent="0.3">
      <c r="A253" s="195">
        <v>252</v>
      </c>
      <c r="B253" s="196"/>
      <c r="C253" s="198"/>
      <c r="D253" s="196"/>
    </row>
    <row r="254" spans="1:4" x14ac:dyDescent="0.3">
      <c r="A254" s="195">
        <v>253</v>
      </c>
      <c r="B254" s="196"/>
      <c r="C254" s="198"/>
      <c r="D254" s="196"/>
    </row>
    <row r="255" spans="1:4" x14ac:dyDescent="0.3">
      <c r="A255" s="195">
        <v>254</v>
      </c>
      <c r="B255" s="196"/>
      <c r="C255" s="198"/>
      <c r="D255" s="196"/>
    </row>
    <row r="256" spans="1:4" x14ac:dyDescent="0.3">
      <c r="A256" s="195">
        <v>255</v>
      </c>
      <c r="B256" s="196"/>
      <c r="C256" s="198"/>
      <c r="D256" s="196"/>
    </row>
    <row r="257" spans="1:4" x14ac:dyDescent="0.3">
      <c r="A257" s="195">
        <v>256</v>
      </c>
      <c r="B257" s="196"/>
      <c r="C257" s="198"/>
      <c r="D257" s="196"/>
    </row>
    <row r="258" spans="1:4" x14ac:dyDescent="0.3">
      <c r="A258" s="195">
        <v>257</v>
      </c>
      <c r="B258" s="196"/>
      <c r="C258" s="198"/>
      <c r="D258" s="196"/>
    </row>
    <row r="259" spans="1:4" x14ac:dyDescent="0.3">
      <c r="A259" s="195">
        <v>258</v>
      </c>
      <c r="B259" s="196"/>
      <c r="C259" s="198"/>
      <c r="D259" s="196"/>
    </row>
    <row r="260" spans="1:4" x14ac:dyDescent="0.3">
      <c r="A260" s="195">
        <v>259</v>
      </c>
      <c r="B260" s="196"/>
      <c r="C260" s="198"/>
      <c r="D260" s="196"/>
    </row>
    <row r="261" spans="1:4" x14ac:dyDescent="0.3">
      <c r="A261" s="195">
        <v>260</v>
      </c>
      <c r="B261" s="196"/>
      <c r="C261" s="198"/>
      <c r="D261" s="196"/>
    </row>
    <row r="262" spans="1:4" x14ac:dyDescent="0.3">
      <c r="A262" s="195">
        <v>261</v>
      </c>
      <c r="B262" s="196"/>
      <c r="C262" s="198"/>
      <c r="D262" s="196"/>
    </row>
    <row r="263" spans="1:4" x14ac:dyDescent="0.3">
      <c r="A263" s="195">
        <v>262</v>
      </c>
      <c r="B263" s="196"/>
      <c r="C263" s="198"/>
      <c r="D263" s="196"/>
    </row>
    <row r="264" spans="1:4" x14ac:dyDescent="0.3">
      <c r="A264" s="195">
        <v>263</v>
      </c>
      <c r="B264" s="196"/>
      <c r="C264" s="198"/>
      <c r="D264" s="196"/>
    </row>
    <row r="265" spans="1:4" x14ac:dyDescent="0.3">
      <c r="A265" s="195">
        <v>264</v>
      </c>
      <c r="B265" s="196"/>
      <c r="C265" s="198"/>
      <c r="D265" s="196"/>
    </row>
    <row r="266" spans="1:4" x14ac:dyDescent="0.3">
      <c r="A266" s="195">
        <v>265</v>
      </c>
      <c r="B266" s="196"/>
      <c r="C266" s="198"/>
      <c r="D266" s="196"/>
    </row>
    <row r="267" spans="1:4" x14ac:dyDescent="0.3">
      <c r="A267" s="195">
        <v>266</v>
      </c>
      <c r="B267" s="196"/>
      <c r="C267" s="198"/>
      <c r="D267" s="196"/>
    </row>
    <row r="268" spans="1:4" x14ac:dyDescent="0.3">
      <c r="A268" s="195">
        <v>267</v>
      </c>
      <c r="B268" s="196"/>
      <c r="C268" s="198"/>
      <c r="D268" s="196"/>
    </row>
    <row r="269" spans="1:4" x14ac:dyDescent="0.3">
      <c r="A269" s="195">
        <v>268</v>
      </c>
      <c r="B269" s="196"/>
      <c r="C269" s="198"/>
      <c r="D269" s="196"/>
    </row>
    <row r="270" spans="1:4" x14ac:dyDescent="0.3">
      <c r="A270" s="195">
        <v>269</v>
      </c>
      <c r="B270" s="196"/>
      <c r="C270" s="198"/>
      <c r="D270" s="196"/>
    </row>
    <row r="271" spans="1:4" x14ac:dyDescent="0.3">
      <c r="A271" s="195">
        <v>270</v>
      </c>
      <c r="B271" s="196"/>
      <c r="C271" s="198"/>
      <c r="D271" s="196"/>
    </row>
    <row r="272" spans="1:4" x14ac:dyDescent="0.3">
      <c r="A272" s="195">
        <v>271</v>
      </c>
      <c r="B272" s="196"/>
      <c r="C272" s="198"/>
      <c r="D272" s="196"/>
    </row>
    <row r="273" spans="1:4" x14ac:dyDescent="0.3">
      <c r="A273" s="195">
        <v>272</v>
      </c>
      <c r="B273" s="196"/>
      <c r="C273" s="198"/>
      <c r="D273" s="196"/>
    </row>
    <row r="274" spans="1:4" x14ac:dyDescent="0.3">
      <c r="A274" s="195">
        <v>273</v>
      </c>
      <c r="B274" s="196"/>
      <c r="C274" s="198"/>
      <c r="D274" s="196"/>
    </row>
    <row r="275" spans="1:4" x14ac:dyDescent="0.3">
      <c r="A275" s="195">
        <v>274</v>
      </c>
      <c r="B275" s="196"/>
      <c r="C275" s="198"/>
      <c r="D275" s="196"/>
    </row>
    <row r="276" spans="1:4" x14ac:dyDescent="0.3">
      <c r="A276" s="195">
        <v>275</v>
      </c>
      <c r="B276" s="196"/>
      <c r="C276" s="198"/>
      <c r="D276" s="196"/>
    </row>
    <row r="277" spans="1:4" x14ac:dyDescent="0.3">
      <c r="A277" s="195">
        <v>276</v>
      </c>
      <c r="B277" s="196"/>
      <c r="C277" s="198"/>
      <c r="D277" s="196"/>
    </row>
    <row r="278" spans="1:4" x14ac:dyDescent="0.3">
      <c r="A278" s="195">
        <v>277</v>
      </c>
      <c r="B278" s="196"/>
      <c r="C278" s="198"/>
      <c r="D278" s="196"/>
    </row>
    <row r="279" spans="1:4" x14ac:dyDescent="0.3">
      <c r="A279" s="195">
        <v>278</v>
      </c>
      <c r="B279" s="196"/>
      <c r="C279" s="198"/>
      <c r="D279" s="196"/>
    </row>
    <row r="280" spans="1:4" x14ac:dyDescent="0.3">
      <c r="A280" s="195">
        <v>279</v>
      </c>
      <c r="B280" s="196"/>
      <c r="C280" s="198"/>
      <c r="D280" s="196"/>
    </row>
    <row r="281" spans="1:4" x14ac:dyDescent="0.3">
      <c r="A281" s="195">
        <v>280</v>
      </c>
      <c r="B281" s="196"/>
      <c r="C281" s="198"/>
      <c r="D281" s="196"/>
    </row>
    <row r="282" spans="1:4" x14ac:dyDescent="0.3">
      <c r="A282" s="195">
        <v>281</v>
      </c>
      <c r="B282" s="196"/>
      <c r="C282" s="198"/>
      <c r="D282" s="196"/>
    </row>
    <row r="283" spans="1:4" x14ac:dyDescent="0.3">
      <c r="A283" s="195">
        <v>282</v>
      </c>
      <c r="B283" s="196"/>
      <c r="C283" s="198"/>
      <c r="D283" s="196"/>
    </row>
    <row r="284" spans="1:4" x14ac:dyDescent="0.3">
      <c r="A284" s="195">
        <v>283</v>
      </c>
      <c r="B284" s="196"/>
      <c r="C284" s="198"/>
      <c r="D284" s="196"/>
    </row>
    <row r="285" spans="1:4" x14ac:dyDescent="0.3">
      <c r="A285" s="195">
        <v>284</v>
      </c>
      <c r="B285" s="196"/>
      <c r="C285" s="198"/>
      <c r="D285" s="196"/>
    </row>
    <row r="286" spans="1:4" x14ac:dyDescent="0.3">
      <c r="A286" s="195">
        <v>285</v>
      </c>
      <c r="B286" s="196"/>
      <c r="C286" s="198"/>
      <c r="D286" s="196"/>
    </row>
    <row r="287" spans="1:4" x14ac:dyDescent="0.3">
      <c r="A287" s="195">
        <v>286</v>
      </c>
      <c r="B287" s="196"/>
      <c r="C287" s="198"/>
      <c r="D287" s="196"/>
    </row>
    <row r="288" spans="1:4" x14ac:dyDescent="0.3">
      <c r="A288" s="195">
        <v>287</v>
      </c>
      <c r="B288" s="196"/>
      <c r="C288" s="198"/>
      <c r="D288" s="196"/>
    </row>
    <row r="289" spans="1:4" x14ac:dyDescent="0.3">
      <c r="A289" s="195">
        <v>288</v>
      </c>
      <c r="B289" s="196"/>
      <c r="C289" s="198"/>
      <c r="D289" s="196"/>
    </row>
    <row r="290" spans="1:4" x14ac:dyDescent="0.3">
      <c r="A290" s="195">
        <v>289</v>
      </c>
      <c r="B290" s="196"/>
      <c r="C290" s="198"/>
      <c r="D290" s="196"/>
    </row>
    <row r="291" spans="1:4" x14ac:dyDescent="0.3">
      <c r="A291" s="195">
        <v>290</v>
      </c>
      <c r="B291" s="196"/>
      <c r="C291" s="198"/>
      <c r="D291" s="196"/>
    </row>
    <row r="292" spans="1:4" x14ac:dyDescent="0.3">
      <c r="A292" s="195">
        <v>291</v>
      </c>
      <c r="B292" s="196"/>
      <c r="C292" s="198"/>
      <c r="D292" s="196"/>
    </row>
    <row r="293" spans="1:4" x14ac:dyDescent="0.3">
      <c r="A293" s="195">
        <v>292</v>
      </c>
      <c r="B293" s="196"/>
      <c r="C293" s="198"/>
      <c r="D293" s="196"/>
    </row>
    <row r="294" spans="1:4" x14ac:dyDescent="0.3">
      <c r="A294" s="195">
        <v>293</v>
      </c>
      <c r="B294" s="196"/>
      <c r="C294" s="198"/>
      <c r="D294" s="196"/>
    </row>
    <row r="295" spans="1:4" x14ac:dyDescent="0.3">
      <c r="A295" s="195">
        <v>294</v>
      </c>
      <c r="B295" s="196"/>
      <c r="C295" s="198"/>
      <c r="D295" s="196"/>
    </row>
    <row r="296" spans="1:4" x14ac:dyDescent="0.3">
      <c r="A296" s="195">
        <v>295</v>
      </c>
      <c r="B296" s="196"/>
      <c r="C296" s="198"/>
      <c r="D296" s="196"/>
    </row>
    <row r="297" spans="1:4" x14ac:dyDescent="0.3">
      <c r="A297" s="195">
        <v>296</v>
      </c>
      <c r="B297" s="196"/>
      <c r="C297" s="198"/>
      <c r="D297" s="196"/>
    </row>
    <row r="298" spans="1:4" x14ac:dyDescent="0.3">
      <c r="A298" s="195">
        <v>297</v>
      </c>
      <c r="B298" s="196"/>
      <c r="C298" s="198"/>
      <c r="D298" s="196"/>
    </row>
    <row r="299" spans="1:4" x14ac:dyDescent="0.3">
      <c r="A299" s="195">
        <v>298</v>
      </c>
      <c r="B299" s="196"/>
      <c r="C299" s="198"/>
      <c r="D299" s="196"/>
    </row>
    <row r="300" spans="1:4" x14ac:dyDescent="0.3">
      <c r="A300" s="195">
        <v>299</v>
      </c>
      <c r="B300" s="196"/>
      <c r="C300" s="198"/>
      <c r="D300" s="196"/>
    </row>
    <row r="301" spans="1:4" x14ac:dyDescent="0.3">
      <c r="A301" s="195">
        <v>300</v>
      </c>
      <c r="B301" s="196"/>
      <c r="C301" s="198"/>
      <c r="D301" s="196"/>
    </row>
    <row r="302" spans="1:4" x14ac:dyDescent="0.3">
      <c r="A302" s="195">
        <v>301</v>
      </c>
      <c r="B302" s="196"/>
      <c r="C302" s="198"/>
      <c r="D302" s="196"/>
    </row>
    <row r="303" spans="1:4" x14ac:dyDescent="0.3">
      <c r="A303" s="195">
        <v>302</v>
      </c>
      <c r="B303" s="196"/>
      <c r="C303" s="198"/>
      <c r="D303" s="196"/>
    </row>
    <row r="304" spans="1:4" x14ac:dyDescent="0.3">
      <c r="A304" s="195">
        <v>303</v>
      </c>
      <c r="B304" s="196"/>
      <c r="C304" s="198"/>
      <c r="D304" s="196"/>
    </row>
    <row r="305" spans="1:4" x14ac:dyDescent="0.3">
      <c r="A305" s="195">
        <v>304</v>
      </c>
      <c r="B305" s="196"/>
      <c r="C305" s="198"/>
      <c r="D305" s="196"/>
    </row>
    <row r="306" spans="1:4" x14ac:dyDescent="0.3">
      <c r="A306" s="195">
        <v>305</v>
      </c>
      <c r="B306" s="196"/>
      <c r="C306" s="198"/>
      <c r="D306" s="196"/>
    </row>
    <row r="307" spans="1:4" x14ac:dyDescent="0.3">
      <c r="A307" s="195">
        <v>306</v>
      </c>
      <c r="B307" s="196"/>
      <c r="C307" s="198"/>
      <c r="D307" s="196"/>
    </row>
    <row r="308" spans="1:4" x14ac:dyDescent="0.3">
      <c r="A308" s="195">
        <v>307</v>
      </c>
      <c r="B308" s="196"/>
      <c r="C308" s="198"/>
      <c r="D308" s="196"/>
    </row>
    <row r="309" spans="1:4" x14ac:dyDescent="0.3">
      <c r="A309" s="195">
        <v>308</v>
      </c>
      <c r="B309" s="196"/>
      <c r="C309" s="198"/>
      <c r="D309" s="196"/>
    </row>
    <row r="310" spans="1:4" x14ac:dyDescent="0.3">
      <c r="A310" s="195">
        <v>309</v>
      </c>
      <c r="B310" s="196"/>
      <c r="C310" s="198"/>
      <c r="D310" s="196"/>
    </row>
    <row r="311" spans="1:4" x14ac:dyDescent="0.3">
      <c r="A311" s="195">
        <v>310</v>
      </c>
      <c r="B311" s="196"/>
      <c r="C311" s="198"/>
      <c r="D311" s="196"/>
    </row>
    <row r="312" spans="1:4" x14ac:dyDescent="0.3">
      <c r="A312" s="195">
        <v>311</v>
      </c>
      <c r="B312" s="196"/>
      <c r="C312" s="198"/>
      <c r="D312" s="196"/>
    </row>
    <row r="313" spans="1:4" x14ac:dyDescent="0.3">
      <c r="A313" s="195">
        <v>312</v>
      </c>
      <c r="B313" s="196"/>
      <c r="C313" s="198"/>
      <c r="D313" s="196"/>
    </row>
    <row r="314" spans="1:4" x14ac:dyDescent="0.3">
      <c r="A314" s="195">
        <v>313</v>
      </c>
      <c r="B314" s="196"/>
      <c r="C314" s="198"/>
      <c r="D314" s="196"/>
    </row>
    <row r="315" spans="1:4" x14ac:dyDescent="0.3">
      <c r="A315" s="195">
        <v>314</v>
      </c>
      <c r="B315" s="196"/>
      <c r="C315" s="198"/>
      <c r="D315" s="196"/>
    </row>
    <row r="316" spans="1:4" x14ac:dyDescent="0.3">
      <c r="A316" s="195">
        <v>315</v>
      </c>
      <c r="B316" s="196"/>
      <c r="C316" s="198"/>
      <c r="D316" s="196"/>
    </row>
    <row r="317" spans="1:4" x14ac:dyDescent="0.3">
      <c r="A317" s="195">
        <v>316</v>
      </c>
      <c r="B317" s="196"/>
      <c r="C317" s="198"/>
      <c r="D317" s="196"/>
    </row>
    <row r="318" spans="1:4" x14ac:dyDescent="0.3">
      <c r="A318" s="195">
        <v>317</v>
      </c>
      <c r="B318" s="196"/>
      <c r="C318" s="198"/>
      <c r="D318" s="196"/>
    </row>
    <row r="319" spans="1:4" x14ac:dyDescent="0.3">
      <c r="A319" s="195">
        <v>318</v>
      </c>
      <c r="B319" s="196"/>
      <c r="C319" s="198"/>
      <c r="D319" s="196"/>
    </row>
    <row r="320" spans="1:4" x14ac:dyDescent="0.3">
      <c r="A320" s="195">
        <v>319</v>
      </c>
      <c r="B320" s="196"/>
      <c r="C320" s="198"/>
      <c r="D320" s="196"/>
    </row>
    <row r="321" spans="1:4" x14ac:dyDescent="0.3">
      <c r="A321" s="195">
        <v>320</v>
      </c>
      <c r="B321" s="196"/>
      <c r="C321" s="198"/>
      <c r="D321" s="196"/>
    </row>
    <row r="322" spans="1:4" x14ac:dyDescent="0.3">
      <c r="A322" s="195">
        <v>321</v>
      </c>
      <c r="B322" s="196"/>
      <c r="C322" s="198"/>
      <c r="D322" s="196"/>
    </row>
    <row r="323" spans="1:4" x14ac:dyDescent="0.3">
      <c r="A323" s="195">
        <v>322</v>
      </c>
      <c r="B323" s="196"/>
      <c r="C323" s="198"/>
      <c r="D323" s="196"/>
    </row>
    <row r="324" spans="1:4" x14ac:dyDescent="0.3">
      <c r="A324" s="195">
        <v>323</v>
      </c>
      <c r="B324" s="196"/>
      <c r="C324" s="198"/>
      <c r="D324" s="196"/>
    </row>
    <row r="325" spans="1:4" x14ac:dyDescent="0.3">
      <c r="A325" s="195">
        <v>324</v>
      </c>
      <c r="B325" s="196"/>
      <c r="C325" s="198"/>
      <c r="D325" s="196"/>
    </row>
    <row r="326" spans="1:4" x14ac:dyDescent="0.3">
      <c r="A326" s="195">
        <v>325</v>
      </c>
      <c r="B326" s="196"/>
      <c r="C326" s="198"/>
      <c r="D326" s="196"/>
    </row>
    <row r="327" spans="1:4" x14ac:dyDescent="0.3">
      <c r="A327" s="195">
        <v>326</v>
      </c>
      <c r="B327" s="196"/>
      <c r="C327" s="198"/>
      <c r="D327" s="196"/>
    </row>
    <row r="328" spans="1:4" x14ac:dyDescent="0.3">
      <c r="A328" s="195">
        <v>327</v>
      </c>
      <c r="B328" s="196"/>
      <c r="C328" s="198"/>
      <c r="D328" s="196"/>
    </row>
    <row r="329" spans="1:4" x14ac:dyDescent="0.3">
      <c r="A329" s="195">
        <v>328</v>
      </c>
      <c r="B329" s="196"/>
      <c r="C329" s="198"/>
      <c r="D329" s="196"/>
    </row>
    <row r="330" spans="1:4" x14ac:dyDescent="0.3">
      <c r="A330" s="195">
        <v>329</v>
      </c>
      <c r="B330" s="196"/>
      <c r="C330" s="198"/>
      <c r="D330" s="196"/>
    </row>
    <row r="331" spans="1:4" x14ac:dyDescent="0.3">
      <c r="A331" s="195">
        <v>330</v>
      </c>
      <c r="B331" s="196"/>
      <c r="C331" s="198"/>
      <c r="D331" s="196"/>
    </row>
    <row r="332" spans="1:4" x14ac:dyDescent="0.3">
      <c r="A332" s="195">
        <v>331</v>
      </c>
      <c r="B332" s="196"/>
      <c r="C332" s="198"/>
      <c r="D332" s="196"/>
    </row>
    <row r="333" spans="1:4" x14ac:dyDescent="0.3">
      <c r="A333" s="195">
        <v>332</v>
      </c>
      <c r="B333" s="196"/>
      <c r="C333" s="198"/>
      <c r="D333" s="196"/>
    </row>
    <row r="334" spans="1:4" x14ac:dyDescent="0.3">
      <c r="A334" s="195">
        <v>333</v>
      </c>
      <c r="B334" s="196"/>
      <c r="C334" s="198"/>
      <c r="D334" s="196"/>
    </row>
    <row r="335" spans="1:4" x14ac:dyDescent="0.3">
      <c r="A335" s="195">
        <v>334</v>
      </c>
      <c r="B335" s="196"/>
      <c r="C335" s="198"/>
      <c r="D335" s="196"/>
    </row>
    <row r="336" spans="1:4" x14ac:dyDescent="0.3">
      <c r="A336" s="195">
        <v>335</v>
      </c>
      <c r="B336" s="196"/>
      <c r="C336" s="198"/>
      <c r="D336" s="196"/>
    </row>
    <row r="337" spans="1:4" x14ac:dyDescent="0.3">
      <c r="A337" s="195">
        <v>336</v>
      </c>
      <c r="B337" s="196"/>
      <c r="C337" s="198"/>
      <c r="D337" s="196"/>
    </row>
    <row r="338" spans="1:4" x14ac:dyDescent="0.3">
      <c r="A338" s="195">
        <v>337</v>
      </c>
      <c r="B338" s="196"/>
      <c r="C338" s="198"/>
      <c r="D338" s="196"/>
    </row>
    <row r="339" spans="1:4" x14ac:dyDescent="0.3">
      <c r="A339" s="195">
        <v>338</v>
      </c>
      <c r="B339" s="196"/>
      <c r="C339" s="198"/>
      <c r="D339" s="196"/>
    </row>
    <row r="340" spans="1:4" x14ac:dyDescent="0.3">
      <c r="A340" s="195">
        <v>339</v>
      </c>
      <c r="B340" s="196"/>
      <c r="C340" s="198"/>
      <c r="D340" s="196"/>
    </row>
    <row r="341" spans="1:4" x14ac:dyDescent="0.3">
      <c r="A341" s="195">
        <v>340</v>
      </c>
      <c r="B341" s="196"/>
      <c r="C341" s="198"/>
      <c r="D341" s="196"/>
    </row>
    <row r="342" spans="1:4" x14ac:dyDescent="0.3">
      <c r="A342" s="195">
        <v>341</v>
      </c>
      <c r="B342" s="196"/>
      <c r="C342" s="198"/>
      <c r="D342" s="196"/>
    </row>
    <row r="343" spans="1:4" x14ac:dyDescent="0.3">
      <c r="A343" s="195">
        <v>342</v>
      </c>
      <c r="B343" s="196"/>
      <c r="C343" s="198"/>
      <c r="D343" s="196"/>
    </row>
    <row r="344" spans="1:4" x14ac:dyDescent="0.3">
      <c r="A344" s="195">
        <v>343</v>
      </c>
      <c r="B344" s="196"/>
      <c r="C344" s="198"/>
      <c r="D344" s="196"/>
    </row>
    <row r="345" spans="1:4" x14ac:dyDescent="0.3">
      <c r="A345" s="195">
        <v>344</v>
      </c>
      <c r="B345" s="196"/>
      <c r="C345" s="198"/>
      <c r="D345" s="196"/>
    </row>
    <row r="346" spans="1:4" x14ac:dyDescent="0.3">
      <c r="A346" s="195">
        <v>345</v>
      </c>
      <c r="B346" s="196"/>
      <c r="C346" s="198"/>
      <c r="D346" s="196"/>
    </row>
    <row r="347" spans="1:4" x14ac:dyDescent="0.3">
      <c r="A347" s="195">
        <v>346</v>
      </c>
      <c r="B347" s="196"/>
      <c r="C347" s="198"/>
      <c r="D347" s="196"/>
    </row>
    <row r="348" spans="1:4" x14ac:dyDescent="0.3">
      <c r="A348" s="195">
        <v>347</v>
      </c>
      <c r="B348" s="196"/>
      <c r="C348" s="198"/>
      <c r="D348" s="196"/>
    </row>
    <row r="349" spans="1:4" x14ac:dyDescent="0.3">
      <c r="A349" s="195">
        <v>348</v>
      </c>
      <c r="B349" s="196"/>
      <c r="C349" s="198"/>
      <c r="D349" s="196"/>
    </row>
    <row r="350" spans="1:4" x14ac:dyDescent="0.3">
      <c r="A350" s="195">
        <v>349</v>
      </c>
      <c r="B350" s="196"/>
      <c r="C350" s="198"/>
      <c r="D350" s="196"/>
    </row>
    <row r="351" spans="1:4" x14ac:dyDescent="0.3">
      <c r="A351" s="234"/>
    </row>
    <row r="352" spans="1:4" x14ac:dyDescent="0.3">
      <c r="A352" s="234"/>
    </row>
    <row r="353" spans="1:1" x14ac:dyDescent="0.3">
      <c r="A353" s="234"/>
    </row>
    <row r="354" spans="1:1" x14ac:dyDescent="0.3">
      <c r="A354" s="234"/>
    </row>
    <row r="355" spans="1:1" x14ac:dyDescent="0.3">
      <c r="A355" s="234"/>
    </row>
    <row r="356" spans="1:1" x14ac:dyDescent="0.3">
      <c r="A356" s="234"/>
    </row>
    <row r="357" spans="1:1" x14ac:dyDescent="0.3">
      <c r="A357" s="234"/>
    </row>
    <row r="358" spans="1:1" x14ac:dyDescent="0.3">
      <c r="A358" s="234"/>
    </row>
    <row r="359" spans="1:1" x14ac:dyDescent="0.3">
      <c r="A359" s="234"/>
    </row>
    <row r="360" spans="1:1" x14ac:dyDescent="0.3">
      <c r="A360" s="234"/>
    </row>
    <row r="361" spans="1:1" x14ac:dyDescent="0.3">
      <c r="A361" s="234"/>
    </row>
    <row r="362" spans="1:1" x14ac:dyDescent="0.3">
      <c r="A362" s="234"/>
    </row>
    <row r="363" spans="1:1" x14ac:dyDescent="0.3">
      <c r="A363" s="234"/>
    </row>
    <row r="364" spans="1:1" x14ac:dyDescent="0.3">
      <c r="A364" s="234"/>
    </row>
    <row r="365" spans="1:1" x14ac:dyDescent="0.3">
      <c r="A365" s="234"/>
    </row>
    <row r="366" spans="1:1" x14ac:dyDescent="0.3">
      <c r="A366" s="234"/>
    </row>
    <row r="367" spans="1:1" x14ac:dyDescent="0.3">
      <c r="A367" s="234"/>
    </row>
    <row r="368" spans="1:1" x14ac:dyDescent="0.3">
      <c r="A368" s="234"/>
    </row>
    <row r="369" spans="1:1" x14ac:dyDescent="0.3">
      <c r="A369" s="234"/>
    </row>
    <row r="370" spans="1:1" x14ac:dyDescent="0.3">
      <c r="A370" s="234"/>
    </row>
    <row r="371" spans="1:1" x14ac:dyDescent="0.3">
      <c r="A371" s="234"/>
    </row>
    <row r="372" spans="1:1" x14ac:dyDescent="0.3">
      <c r="A372" s="234"/>
    </row>
    <row r="373" spans="1:1" x14ac:dyDescent="0.3">
      <c r="A373" s="234"/>
    </row>
    <row r="374" spans="1:1" x14ac:dyDescent="0.3">
      <c r="A374" s="234"/>
    </row>
    <row r="375" spans="1:1" x14ac:dyDescent="0.3">
      <c r="A375" s="234"/>
    </row>
    <row r="376" spans="1:1" x14ac:dyDescent="0.3">
      <c r="A376" s="234"/>
    </row>
    <row r="377" spans="1:1" x14ac:dyDescent="0.3">
      <c r="A377" s="234"/>
    </row>
    <row r="378" spans="1:1" x14ac:dyDescent="0.3">
      <c r="A378" s="234"/>
    </row>
    <row r="379" spans="1:1" x14ac:dyDescent="0.3">
      <c r="A379" s="234"/>
    </row>
    <row r="380" spans="1:1" x14ac:dyDescent="0.3">
      <c r="A380" s="234"/>
    </row>
    <row r="381" spans="1:1" x14ac:dyDescent="0.3">
      <c r="A381" s="234"/>
    </row>
    <row r="382" spans="1:1" x14ac:dyDescent="0.3">
      <c r="A382" s="234"/>
    </row>
    <row r="383" spans="1:1" x14ac:dyDescent="0.3">
      <c r="A383" s="234"/>
    </row>
    <row r="384" spans="1:1" x14ac:dyDescent="0.3">
      <c r="A384" s="234"/>
    </row>
    <row r="385" spans="1:1" x14ac:dyDescent="0.3">
      <c r="A385" s="234"/>
    </row>
    <row r="386" spans="1:1" x14ac:dyDescent="0.3">
      <c r="A386" s="234"/>
    </row>
    <row r="387" spans="1:1" x14ac:dyDescent="0.3">
      <c r="A387" s="234"/>
    </row>
    <row r="388" spans="1:1" x14ac:dyDescent="0.3">
      <c r="A388" s="234"/>
    </row>
    <row r="389" spans="1:1" x14ac:dyDescent="0.3">
      <c r="A389" s="234"/>
    </row>
    <row r="390" spans="1:1" x14ac:dyDescent="0.3">
      <c r="A390" s="234"/>
    </row>
    <row r="391" spans="1:1" x14ac:dyDescent="0.3">
      <c r="A391" s="234"/>
    </row>
    <row r="392" spans="1:1" x14ac:dyDescent="0.3">
      <c r="A392" s="234"/>
    </row>
    <row r="393" spans="1:1" x14ac:dyDescent="0.3">
      <c r="A393" s="234"/>
    </row>
    <row r="394" spans="1:1" x14ac:dyDescent="0.3">
      <c r="A394" s="234"/>
    </row>
    <row r="395" spans="1:1" x14ac:dyDescent="0.3">
      <c r="A395" s="234"/>
    </row>
    <row r="396" spans="1:1" x14ac:dyDescent="0.3">
      <c r="A396" s="234"/>
    </row>
    <row r="397" spans="1:1" x14ac:dyDescent="0.3">
      <c r="A397" s="234"/>
    </row>
    <row r="398" spans="1:1" x14ac:dyDescent="0.3">
      <c r="A398" s="234"/>
    </row>
    <row r="399" spans="1:1" x14ac:dyDescent="0.3">
      <c r="A399" s="234"/>
    </row>
    <row r="400" spans="1:1" x14ac:dyDescent="0.3">
      <c r="A400" s="234"/>
    </row>
    <row r="401" spans="1:1" x14ac:dyDescent="0.3">
      <c r="A401" s="234"/>
    </row>
    <row r="402" spans="1:1" x14ac:dyDescent="0.3">
      <c r="A402" s="234"/>
    </row>
    <row r="403" spans="1:1" x14ac:dyDescent="0.3">
      <c r="A403" s="234"/>
    </row>
    <row r="404" spans="1:1" x14ac:dyDescent="0.3">
      <c r="A404" s="234"/>
    </row>
    <row r="405" spans="1:1" x14ac:dyDescent="0.3">
      <c r="A405" s="234"/>
    </row>
    <row r="406" spans="1:1" x14ac:dyDescent="0.3">
      <c r="A406" s="234"/>
    </row>
    <row r="407" spans="1:1" x14ac:dyDescent="0.3">
      <c r="A407" s="234"/>
    </row>
    <row r="408" spans="1:1" x14ac:dyDescent="0.3">
      <c r="A408" s="234"/>
    </row>
    <row r="409" spans="1:1" x14ac:dyDescent="0.3">
      <c r="A409" s="234"/>
    </row>
    <row r="410" spans="1:1" x14ac:dyDescent="0.3">
      <c r="A410" s="234"/>
    </row>
    <row r="411" spans="1:1" x14ac:dyDescent="0.3">
      <c r="A411" s="234"/>
    </row>
    <row r="412" spans="1:1" x14ac:dyDescent="0.3">
      <c r="A412" s="234"/>
    </row>
    <row r="413" spans="1:1" x14ac:dyDescent="0.3">
      <c r="A413" s="234"/>
    </row>
    <row r="414" spans="1:1" x14ac:dyDescent="0.3">
      <c r="A414" s="234"/>
    </row>
    <row r="415" spans="1:1" x14ac:dyDescent="0.3">
      <c r="A415" s="234"/>
    </row>
    <row r="416" spans="1:1" x14ac:dyDescent="0.3">
      <c r="A416" s="234"/>
    </row>
    <row r="417" spans="1:1" x14ac:dyDescent="0.3">
      <c r="A417" s="234"/>
    </row>
    <row r="418" spans="1:1" x14ac:dyDescent="0.3">
      <c r="A418" s="234"/>
    </row>
    <row r="419" spans="1:1" x14ac:dyDescent="0.3">
      <c r="A419" s="234"/>
    </row>
    <row r="420" spans="1:1" x14ac:dyDescent="0.3">
      <c r="A420" s="234"/>
    </row>
    <row r="421" spans="1:1" x14ac:dyDescent="0.3">
      <c r="A421" s="234"/>
    </row>
    <row r="422" spans="1:1" x14ac:dyDescent="0.3">
      <c r="A422" s="234"/>
    </row>
    <row r="423" spans="1:1" x14ac:dyDescent="0.3">
      <c r="A423" s="234"/>
    </row>
    <row r="424" spans="1:1" x14ac:dyDescent="0.3">
      <c r="A424" s="234"/>
    </row>
    <row r="425" spans="1:1" x14ac:dyDescent="0.3">
      <c r="A425" s="234"/>
    </row>
    <row r="426" spans="1:1" x14ac:dyDescent="0.3">
      <c r="A426" s="234"/>
    </row>
    <row r="427" spans="1:1" x14ac:dyDescent="0.3">
      <c r="A427" s="234"/>
    </row>
    <row r="428" spans="1:1" x14ac:dyDescent="0.3">
      <c r="A428" s="234"/>
    </row>
    <row r="429" spans="1:1" x14ac:dyDescent="0.3">
      <c r="A429" s="234"/>
    </row>
    <row r="430" spans="1:1" x14ac:dyDescent="0.3">
      <c r="A430" s="234"/>
    </row>
    <row r="431" spans="1:1" x14ac:dyDescent="0.3">
      <c r="A431" s="234"/>
    </row>
    <row r="432" spans="1:1" x14ac:dyDescent="0.3">
      <c r="A432" s="234"/>
    </row>
    <row r="433" spans="1:1" x14ac:dyDescent="0.3">
      <c r="A433" s="234"/>
    </row>
    <row r="434" spans="1:1" x14ac:dyDescent="0.3">
      <c r="A434" s="234"/>
    </row>
    <row r="435" spans="1:1" x14ac:dyDescent="0.3">
      <c r="A435" s="234"/>
    </row>
    <row r="436" spans="1:1" x14ac:dyDescent="0.3">
      <c r="A436" s="234"/>
    </row>
    <row r="437" spans="1:1" x14ac:dyDescent="0.3">
      <c r="A437" s="234"/>
    </row>
    <row r="438" spans="1:1" x14ac:dyDescent="0.3">
      <c r="A438" s="234"/>
    </row>
    <row r="439" spans="1:1" x14ac:dyDescent="0.3">
      <c r="A439" s="234"/>
    </row>
    <row r="440" spans="1:1" x14ac:dyDescent="0.3">
      <c r="A440" s="234"/>
    </row>
    <row r="441" spans="1:1" x14ac:dyDescent="0.3">
      <c r="A441" s="234"/>
    </row>
    <row r="442" spans="1:1" x14ac:dyDescent="0.3">
      <c r="A442" s="234"/>
    </row>
    <row r="443" spans="1:1" x14ac:dyDescent="0.3">
      <c r="A443" s="234"/>
    </row>
    <row r="444" spans="1:1" x14ac:dyDescent="0.3">
      <c r="A444" s="234"/>
    </row>
    <row r="445" spans="1:1" x14ac:dyDescent="0.3">
      <c r="A445" s="234"/>
    </row>
    <row r="446" spans="1:1" x14ac:dyDescent="0.3">
      <c r="A446" s="234"/>
    </row>
    <row r="447" spans="1:1" x14ac:dyDescent="0.3">
      <c r="A447" s="234"/>
    </row>
    <row r="448" spans="1:1" x14ac:dyDescent="0.3">
      <c r="A448" s="234"/>
    </row>
    <row r="449" spans="1:1" x14ac:dyDescent="0.3">
      <c r="A449" s="234"/>
    </row>
    <row r="450" spans="1:1" x14ac:dyDescent="0.3">
      <c r="A450" s="234"/>
    </row>
    <row r="451" spans="1:1" x14ac:dyDescent="0.3">
      <c r="A451" s="234"/>
    </row>
    <row r="452" spans="1:1" x14ac:dyDescent="0.3">
      <c r="A452" s="234"/>
    </row>
    <row r="453" spans="1:1" x14ac:dyDescent="0.3">
      <c r="A453" s="234"/>
    </row>
    <row r="454" spans="1:1" x14ac:dyDescent="0.3">
      <c r="A454" s="234"/>
    </row>
    <row r="455" spans="1:1" x14ac:dyDescent="0.3">
      <c r="A455" s="234"/>
    </row>
    <row r="456" spans="1:1" x14ac:dyDescent="0.3">
      <c r="A456" s="234"/>
    </row>
    <row r="457" spans="1:1" x14ac:dyDescent="0.3">
      <c r="A457" s="234"/>
    </row>
    <row r="458" spans="1:1" x14ac:dyDescent="0.3">
      <c r="A458" s="234"/>
    </row>
    <row r="459" spans="1:1" x14ac:dyDescent="0.3">
      <c r="A459" s="234"/>
    </row>
    <row r="460" spans="1:1" x14ac:dyDescent="0.3">
      <c r="A460" s="234"/>
    </row>
    <row r="461" spans="1:1" x14ac:dyDescent="0.3">
      <c r="A461" s="234"/>
    </row>
    <row r="462" spans="1:1" x14ac:dyDescent="0.3">
      <c r="A462" s="234"/>
    </row>
    <row r="463" spans="1:1" x14ac:dyDescent="0.3">
      <c r="A463" s="234"/>
    </row>
    <row r="464" spans="1:1" x14ac:dyDescent="0.3">
      <c r="A464" s="234"/>
    </row>
    <row r="465" spans="1:1" x14ac:dyDescent="0.3">
      <c r="A465" s="234"/>
    </row>
    <row r="466" spans="1:1" x14ac:dyDescent="0.3">
      <c r="A466" s="234"/>
    </row>
    <row r="467" spans="1:1" x14ac:dyDescent="0.3">
      <c r="A467" s="234"/>
    </row>
    <row r="468" spans="1:1" x14ac:dyDescent="0.3">
      <c r="A468" s="234"/>
    </row>
    <row r="469" spans="1:1" x14ac:dyDescent="0.3">
      <c r="A469" s="234"/>
    </row>
    <row r="470" spans="1:1" x14ac:dyDescent="0.3">
      <c r="A470" s="234"/>
    </row>
    <row r="471" spans="1:1" x14ac:dyDescent="0.3">
      <c r="A471" s="234"/>
    </row>
    <row r="472" spans="1:1" x14ac:dyDescent="0.3">
      <c r="A472" s="234"/>
    </row>
    <row r="473" spans="1:1" x14ac:dyDescent="0.3">
      <c r="A473" s="234"/>
    </row>
    <row r="474" spans="1:1" x14ac:dyDescent="0.3">
      <c r="A474" s="234"/>
    </row>
    <row r="475" spans="1:1" x14ac:dyDescent="0.3">
      <c r="A475" s="234"/>
    </row>
    <row r="476" spans="1:1" x14ac:dyDescent="0.3">
      <c r="A476" s="234"/>
    </row>
    <row r="477" spans="1:1" x14ac:dyDescent="0.3">
      <c r="A477" s="234"/>
    </row>
    <row r="478" spans="1:1" x14ac:dyDescent="0.3">
      <c r="A478" s="234"/>
    </row>
    <row r="479" spans="1:1" x14ac:dyDescent="0.3">
      <c r="A479" s="234"/>
    </row>
    <row r="480" spans="1:1" x14ac:dyDescent="0.3">
      <c r="A480" s="234"/>
    </row>
    <row r="481" spans="1:1" x14ac:dyDescent="0.3">
      <c r="A481" s="234"/>
    </row>
    <row r="482" spans="1:1" x14ac:dyDescent="0.3">
      <c r="A482" s="234"/>
    </row>
    <row r="483" spans="1:1" x14ac:dyDescent="0.3">
      <c r="A483" s="234"/>
    </row>
    <row r="484" spans="1:1" x14ac:dyDescent="0.3">
      <c r="A484" s="234"/>
    </row>
    <row r="485" spans="1:1" x14ac:dyDescent="0.3">
      <c r="A485" s="234"/>
    </row>
    <row r="486" spans="1:1" x14ac:dyDescent="0.3">
      <c r="A486" s="234"/>
    </row>
    <row r="487" spans="1:1" x14ac:dyDescent="0.3">
      <c r="A487" s="234"/>
    </row>
    <row r="488" spans="1:1" x14ac:dyDescent="0.3">
      <c r="A488" s="234"/>
    </row>
    <row r="489" spans="1:1" x14ac:dyDescent="0.3">
      <c r="A489" s="234"/>
    </row>
    <row r="490" spans="1:1" x14ac:dyDescent="0.3">
      <c r="A490" s="234"/>
    </row>
    <row r="491" spans="1:1" x14ac:dyDescent="0.3">
      <c r="A491" s="234"/>
    </row>
    <row r="492" spans="1:1" x14ac:dyDescent="0.3">
      <c r="A492" s="234"/>
    </row>
    <row r="493" spans="1:1" x14ac:dyDescent="0.3">
      <c r="A493" s="234"/>
    </row>
    <row r="494" spans="1:1" x14ac:dyDescent="0.3">
      <c r="A494" s="234"/>
    </row>
    <row r="495" spans="1:1" x14ac:dyDescent="0.3">
      <c r="A495" s="234"/>
    </row>
    <row r="496" spans="1:1" x14ac:dyDescent="0.3">
      <c r="A496" s="234"/>
    </row>
    <row r="497" spans="1:1" x14ac:dyDescent="0.3">
      <c r="A497" s="234"/>
    </row>
    <row r="498" spans="1:1" x14ac:dyDescent="0.3">
      <c r="A498" s="234"/>
    </row>
    <row r="499" spans="1:1" x14ac:dyDescent="0.3">
      <c r="A499" s="234"/>
    </row>
    <row r="500" spans="1:1" x14ac:dyDescent="0.3">
      <c r="A500" s="234"/>
    </row>
    <row r="501" spans="1:1" x14ac:dyDescent="0.3">
      <c r="A501" s="234"/>
    </row>
    <row r="502" spans="1:1" x14ac:dyDescent="0.3">
      <c r="A502" s="234"/>
    </row>
    <row r="503" spans="1:1" x14ac:dyDescent="0.3">
      <c r="A503" s="234"/>
    </row>
    <row r="504" spans="1:1" x14ac:dyDescent="0.3">
      <c r="A504" s="234"/>
    </row>
    <row r="505" spans="1:1" x14ac:dyDescent="0.3">
      <c r="A505" s="234"/>
    </row>
    <row r="506" spans="1:1" x14ac:dyDescent="0.3">
      <c r="A506" s="234"/>
    </row>
    <row r="507" spans="1:1" x14ac:dyDescent="0.3">
      <c r="A507" s="234"/>
    </row>
    <row r="508" spans="1:1" x14ac:dyDescent="0.3">
      <c r="A508" s="234"/>
    </row>
    <row r="509" spans="1:1" x14ac:dyDescent="0.3">
      <c r="A509" s="234"/>
    </row>
    <row r="510" spans="1:1" x14ac:dyDescent="0.3">
      <c r="A510" s="234"/>
    </row>
    <row r="511" spans="1:1" x14ac:dyDescent="0.3">
      <c r="A511" s="234"/>
    </row>
    <row r="512" spans="1:1" x14ac:dyDescent="0.3">
      <c r="A512" s="234"/>
    </row>
    <row r="513" spans="1:1" x14ac:dyDescent="0.3">
      <c r="A513" s="234"/>
    </row>
    <row r="514" spans="1:1" x14ac:dyDescent="0.3">
      <c r="A514" s="234"/>
    </row>
    <row r="515" spans="1:1" x14ac:dyDescent="0.3">
      <c r="A515" s="234"/>
    </row>
    <row r="516" spans="1:1" x14ac:dyDescent="0.3">
      <c r="A516" s="234"/>
    </row>
    <row r="517" spans="1:1" x14ac:dyDescent="0.3">
      <c r="A517" s="234"/>
    </row>
    <row r="518" spans="1:1" x14ac:dyDescent="0.3">
      <c r="A518" s="234"/>
    </row>
    <row r="519" spans="1:1" x14ac:dyDescent="0.3">
      <c r="A519" s="234"/>
    </row>
    <row r="520" spans="1:1" x14ac:dyDescent="0.3">
      <c r="A520" s="234"/>
    </row>
    <row r="521" spans="1:1" x14ac:dyDescent="0.3">
      <c r="A521" s="234"/>
    </row>
    <row r="522" spans="1:1" x14ac:dyDescent="0.3">
      <c r="A522" s="234"/>
    </row>
    <row r="523" spans="1:1" x14ac:dyDescent="0.3">
      <c r="A523" s="234"/>
    </row>
    <row r="524" spans="1:1" x14ac:dyDescent="0.3">
      <c r="A524" s="234"/>
    </row>
    <row r="525" spans="1:1" x14ac:dyDescent="0.3">
      <c r="A525" s="234"/>
    </row>
    <row r="526" spans="1:1" x14ac:dyDescent="0.3">
      <c r="A526" s="234"/>
    </row>
    <row r="527" spans="1:1" x14ac:dyDescent="0.3">
      <c r="A527" s="234"/>
    </row>
    <row r="528" spans="1:1" x14ac:dyDescent="0.3">
      <c r="A528" s="234"/>
    </row>
    <row r="529" spans="1:1" x14ac:dyDescent="0.3">
      <c r="A529" s="234"/>
    </row>
    <row r="530" spans="1:1" x14ac:dyDescent="0.3">
      <c r="A530" s="234"/>
    </row>
    <row r="531" spans="1:1" x14ac:dyDescent="0.3">
      <c r="A531" s="234"/>
    </row>
    <row r="532" spans="1:1" x14ac:dyDescent="0.3">
      <c r="A532" s="234"/>
    </row>
    <row r="533" spans="1:1" x14ac:dyDescent="0.3">
      <c r="A533" s="234"/>
    </row>
    <row r="534" spans="1:1" x14ac:dyDescent="0.3">
      <c r="A534" s="234"/>
    </row>
    <row r="535" spans="1:1" x14ac:dyDescent="0.3">
      <c r="A535" s="234"/>
    </row>
    <row r="536" spans="1:1" x14ac:dyDescent="0.3">
      <c r="A536" s="234"/>
    </row>
    <row r="537" spans="1:1" x14ac:dyDescent="0.3">
      <c r="A537" s="234"/>
    </row>
    <row r="538" spans="1:1" x14ac:dyDescent="0.3">
      <c r="A538" s="234"/>
    </row>
    <row r="539" spans="1:1" x14ac:dyDescent="0.3">
      <c r="A539" s="234"/>
    </row>
    <row r="540" spans="1:1" x14ac:dyDescent="0.3">
      <c r="A540" s="234"/>
    </row>
    <row r="541" spans="1:1" x14ac:dyDescent="0.3">
      <c r="A541" s="234"/>
    </row>
    <row r="542" spans="1:1" x14ac:dyDescent="0.3">
      <c r="A542" s="234"/>
    </row>
    <row r="543" spans="1:1" x14ac:dyDescent="0.3">
      <c r="A543" s="234"/>
    </row>
    <row r="544" spans="1:1" x14ac:dyDescent="0.3">
      <c r="A544" s="234"/>
    </row>
    <row r="545" spans="1:1" x14ac:dyDescent="0.3">
      <c r="A545" s="234"/>
    </row>
    <row r="546" spans="1:1" x14ac:dyDescent="0.3">
      <c r="A546" s="234"/>
    </row>
    <row r="547" spans="1:1" x14ac:dyDescent="0.3">
      <c r="A547" s="234"/>
    </row>
    <row r="548" spans="1:1" x14ac:dyDescent="0.3">
      <c r="A548" s="234"/>
    </row>
    <row r="549" spans="1:1" x14ac:dyDescent="0.3">
      <c r="A549" s="234"/>
    </row>
    <row r="550" spans="1:1" x14ac:dyDescent="0.3">
      <c r="A550" s="234"/>
    </row>
    <row r="551" spans="1:1" x14ac:dyDescent="0.3">
      <c r="A551" s="234"/>
    </row>
    <row r="552" spans="1:1" x14ac:dyDescent="0.3">
      <c r="A552" s="234"/>
    </row>
    <row r="553" spans="1:1" x14ac:dyDescent="0.3">
      <c r="A553" s="234"/>
    </row>
    <row r="554" spans="1:1" x14ac:dyDescent="0.3">
      <c r="A554" s="234"/>
    </row>
    <row r="555" spans="1:1" x14ac:dyDescent="0.3">
      <c r="A555" s="234"/>
    </row>
    <row r="556" spans="1:1" x14ac:dyDescent="0.3">
      <c r="A556" s="234"/>
    </row>
    <row r="557" spans="1:1" x14ac:dyDescent="0.3">
      <c r="A557" s="234"/>
    </row>
    <row r="558" spans="1:1" x14ac:dyDescent="0.3">
      <c r="A558" s="234"/>
    </row>
    <row r="559" spans="1:1" x14ac:dyDescent="0.3">
      <c r="A559" s="234"/>
    </row>
    <row r="560" spans="1:1" x14ac:dyDescent="0.3">
      <c r="A560" s="234"/>
    </row>
    <row r="561" spans="1:1" x14ac:dyDescent="0.3">
      <c r="A561" s="234"/>
    </row>
    <row r="562" spans="1:1" x14ac:dyDescent="0.3">
      <c r="A562" s="234"/>
    </row>
    <row r="563" spans="1:1" x14ac:dyDescent="0.3">
      <c r="A563" s="234"/>
    </row>
    <row r="564" spans="1:1" x14ac:dyDescent="0.3">
      <c r="A564" s="234"/>
    </row>
    <row r="565" spans="1:1" x14ac:dyDescent="0.3">
      <c r="A565" s="234"/>
    </row>
    <row r="566" spans="1:1" x14ac:dyDescent="0.3">
      <c r="A566" s="234"/>
    </row>
    <row r="567" spans="1:1" x14ac:dyDescent="0.3">
      <c r="A567" s="234"/>
    </row>
    <row r="568" spans="1:1" x14ac:dyDescent="0.3">
      <c r="A568" s="234"/>
    </row>
    <row r="569" spans="1:1" x14ac:dyDescent="0.3">
      <c r="A569" s="234"/>
    </row>
    <row r="570" spans="1:1" x14ac:dyDescent="0.3">
      <c r="A570" s="234"/>
    </row>
    <row r="571" spans="1:1" x14ac:dyDescent="0.3">
      <c r="A571" s="234"/>
    </row>
    <row r="572" spans="1:1" x14ac:dyDescent="0.3">
      <c r="A572" s="234"/>
    </row>
    <row r="573" spans="1:1" x14ac:dyDescent="0.3">
      <c r="A573" s="234"/>
    </row>
    <row r="574" spans="1:1" x14ac:dyDescent="0.3">
      <c r="A574" s="234"/>
    </row>
    <row r="575" spans="1:1" x14ac:dyDescent="0.3">
      <c r="A575" s="234"/>
    </row>
    <row r="576" spans="1:1" x14ac:dyDescent="0.3">
      <c r="A576" s="234"/>
    </row>
    <row r="577" spans="1:1" x14ac:dyDescent="0.3">
      <c r="A577" s="234"/>
    </row>
    <row r="578" spans="1:1" x14ac:dyDescent="0.3">
      <c r="A578" s="234"/>
    </row>
    <row r="579" spans="1:1" x14ac:dyDescent="0.3">
      <c r="A579" s="234"/>
    </row>
    <row r="580" spans="1:1" x14ac:dyDescent="0.3">
      <c r="A580" s="234"/>
    </row>
    <row r="581" spans="1:1" x14ac:dyDescent="0.3">
      <c r="A581" s="234"/>
    </row>
    <row r="582" spans="1:1" x14ac:dyDescent="0.3">
      <c r="A582" s="234"/>
    </row>
    <row r="583" spans="1:1" x14ac:dyDescent="0.3">
      <c r="A583" s="234"/>
    </row>
    <row r="584" spans="1:1" x14ac:dyDescent="0.3">
      <c r="A584" s="234"/>
    </row>
    <row r="585" spans="1:1" x14ac:dyDescent="0.3">
      <c r="A585" s="234"/>
    </row>
    <row r="586" spans="1:1" x14ac:dyDescent="0.3">
      <c r="A586" s="234"/>
    </row>
    <row r="587" spans="1:1" x14ac:dyDescent="0.3">
      <c r="A587" s="234"/>
    </row>
    <row r="588" spans="1:1" x14ac:dyDescent="0.3">
      <c r="A588" s="234"/>
    </row>
    <row r="589" spans="1:1" x14ac:dyDescent="0.3">
      <c r="A589" s="234"/>
    </row>
    <row r="590" spans="1:1" x14ac:dyDescent="0.3">
      <c r="A590" s="234"/>
    </row>
    <row r="591" spans="1:1" x14ac:dyDescent="0.3">
      <c r="A591" s="234"/>
    </row>
    <row r="592" spans="1:1" x14ac:dyDescent="0.3">
      <c r="A592" s="234"/>
    </row>
    <row r="593" spans="1:1" x14ac:dyDescent="0.3">
      <c r="A593" s="234"/>
    </row>
    <row r="594" spans="1:1" x14ac:dyDescent="0.3">
      <c r="A594" s="234"/>
    </row>
    <row r="595" spans="1:1" x14ac:dyDescent="0.3">
      <c r="A595" s="234"/>
    </row>
    <row r="596" spans="1:1" x14ac:dyDescent="0.3">
      <c r="A596" s="234"/>
    </row>
    <row r="597" spans="1:1" x14ac:dyDescent="0.3">
      <c r="A597" s="234"/>
    </row>
    <row r="598" spans="1:1" x14ac:dyDescent="0.3">
      <c r="A598" s="234"/>
    </row>
    <row r="599" spans="1:1" x14ac:dyDescent="0.3">
      <c r="A599" s="234"/>
    </row>
    <row r="600" spans="1:1" x14ac:dyDescent="0.3">
      <c r="A600" s="234"/>
    </row>
    <row r="601" spans="1:1" x14ac:dyDescent="0.3">
      <c r="A601" s="234"/>
    </row>
    <row r="602" spans="1:1" x14ac:dyDescent="0.3">
      <c r="A602" s="234"/>
    </row>
    <row r="603" spans="1:1" x14ac:dyDescent="0.3">
      <c r="A603" s="234"/>
    </row>
    <row r="604" spans="1:1" x14ac:dyDescent="0.3">
      <c r="A604" s="234"/>
    </row>
    <row r="605" spans="1:1" x14ac:dyDescent="0.3">
      <c r="A605" s="234"/>
    </row>
    <row r="606" spans="1:1" x14ac:dyDescent="0.3">
      <c r="A606" s="234"/>
    </row>
    <row r="607" spans="1:1" x14ac:dyDescent="0.3">
      <c r="A607" s="234"/>
    </row>
    <row r="608" spans="1:1" x14ac:dyDescent="0.3">
      <c r="A608" s="234"/>
    </row>
    <row r="609" spans="1:1" x14ac:dyDescent="0.3">
      <c r="A609" s="234"/>
    </row>
    <row r="610" spans="1:1" x14ac:dyDescent="0.3">
      <c r="A610" s="234"/>
    </row>
    <row r="611" spans="1:1" x14ac:dyDescent="0.3">
      <c r="A611" s="234"/>
    </row>
    <row r="612" spans="1:1" x14ac:dyDescent="0.3">
      <c r="A612" s="234"/>
    </row>
    <row r="613" spans="1:1" x14ac:dyDescent="0.3">
      <c r="A613" s="234"/>
    </row>
    <row r="614" spans="1:1" x14ac:dyDescent="0.3">
      <c r="A614" s="234"/>
    </row>
    <row r="615" spans="1:1" x14ac:dyDescent="0.3">
      <c r="A615" s="234"/>
    </row>
    <row r="616" spans="1:1" x14ac:dyDescent="0.3">
      <c r="A616" s="234"/>
    </row>
    <row r="617" spans="1:1" x14ac:dyDescent="0.3">
      <c r="A617" s="234"/>
    </row>
    <row r="618" spans="1:1" x14ac:dyDescent="0.3">
      <c r="A618" s="234"/>
    </row>
    <row r="619" spans="1:1" x14ac:dyDescent="0.3">
      <c r="A619" s="234"/>
    </row>
    <row r="620" spans="1:1" x14ac:dyDescent="0.3">
      <c r="A620" s="234"/>
    </row>
    <row r="621" spans="1:1" x14ac:dyDescent="0.3">
      <c r="A621" s="234"/>
    </row>
    <row r="622" spans="1:1" x14ac:dyDescent="0.3">
      <c r="A622" s="234"/>
    </row>
    <row r="623" spans="1:1" x14ac:dyDescent="0.3">
      <c r="A623" s="234"/>
    </row>
    <row r="624" spans="1:1" x14ac:dyDescent="0.3">
      <c r="A624" s="234"/>
    </row>
    <row r="625" spans="1:1" x14ac:dyDescent="0.3">
      <c r="A625" s="234"/>
    </row>
    <row r="626" spans="1:1" x14ac:dyDescent="0.3">
      <c r="A626" s="234"/>
    </row>
    <row r="627" spans="1:1" x14ac:dyDescent="0.3">
      <c r="A627" s="234"/>
    </row>
    <row r="628" spans="1:1" x14ac:dyDescent="0.3">
      <c r="A628" s="234"/>
    </row>
    <row r="629" spans="1:1" x14ac:dyDescent="0.3">
      <c r="A629" s="234"/>
    </row>
    <row r="630" spans="1:1" x14ac:dyDescent="0.3">
      <c r="A630" s="234"/>
    </row>
    <row r="631" spans="1:1" x14ac:dyDescent="0.3">
      <c r="A631" s="234"/>
    </row>
    <row r="632" spans="1:1" x14ac:dyDescent="0.3">
      <c r="A632" s="234"/>
    </row>
    <row r="633" spans="1:1" x14ac:dyDescent="0.3">
      <c r="A633" s="234"/>
    </row>
    <row r="634" spans="1:1" x14ac:dyDescent="0.3">
      <c r="A634" s="234"/>
    </row>
    <row r="635" spans="1:1" x14ac:dyDescent="0.3">
      <c r="A635" s="234"/>
    </row>
    <row r="636" spans="1:1" x14ac:dyDescent="0.3">
      <c r="A636" s="234"/>
    </row>
    <row r="637" spans="1:1" x14ac:dyDescent="0.3">
      <c r="A637" s="234"/>
    </row>
    <row r="638" spans="1:1" x14ac:dyDescent="0.3">
      <c r="A638" s="234"/>
    </row>
    <row r="639" spans="1:1" x14ac:dyDescent="0.3">
      <c r="A639" s="234"/>
    </row>
    <row r="640" spans="1:1" x14ac:dyDescent="0.3">
      <c r="A640" s="234"/>
    </row>
    <row r="641" spans="1:1" x14ac:dyDescent="0.3">
      <c r="A641" s="234"/>
    </row>
    <row r="642" spans="1:1" x14ac:dyDescent="0.3">
      <c r="A642" s="234"/>
    </row>
    <row r="643" spans="1:1" x14ac:dyDescent="0.3">
      <c r="A643" s="234"/>
    </row>
    <row r="644" spans="1:1" x14ac:dyDescent="0.3">
      <c r="A644" s="234"/>
    </row>
    <row r="645" spans="1:1" x14ac:dyDescent="0.3">
      <c r="A645" s="234"/>
    </row>
    <row r="646" spans="1:1" x14ac:dyDescent="0.3">
      <c r="A646" s="234"/>
    </row>
    <row r="647" spans="1:1" x14ac:dyDescent="0.3">
      <c r="A647" s="234"/>
    </row>
    <row r="648" spans="1:1" x14ac:dyDescent="0.3">
      <c r="A648" s="234"/>
    </row>
    <row r="649" spans="1:1" x14ac:dyDescent="0.3">
      <c r="A649" s="234"/>
    </row>
    <row r="650" spans="1:1" x14ac:dyDescent="0.3">
      <c r="A650" s="234"/>
    </row>
    <row r="651" spans="1:1" x14ac:dyDescent="0.3">
      <c r="A651" s="234"/>
    </row>
    <row r="652" spans="1:1" x14ac:dyDescent="0.3">
      <c r="A652" s="234"/>
    </row>
    <row r="653" spans="1:1" x14ac:dyDescent="0.3">
      <c r="A653" s="234"/>
    </row>
    <row r="654" spans="1:1" x14ac:dyDescent="0.3">
      <c r="A654" s="234"/>
    </row>
    <row r="655" spans="1:1" x14ac:dyDescent="0.3">
      <c r="A655" s="234"/>
    </row>
    <row r="656" spans="1:1" x14ac:dyDescent="0.3">
      <c r="A656" s="234"/>
    </row>
    <row r="657" spans="1:1" x14ac:dyDescent="0.3">
      <c r="A657" s="234"/>
    </row>
    <row r="658" spans="1:1" x14ac:dyDescent="0.3">
      <c r="A658" s="234"/>
    </row>
    <row r="659" spans="1:1" x14ac:dyDescent="0.3">
      <c r="A659" s="234"/>
    </row>
    <row r="660" spans="1:1" x14ac:dyDescent="0.3">
      <c r="A660" s="234"/>
    </row>
    <row r="661" spans="1:1" x14ac:dyDescent="0.3">
      <c r="A661" s="234"/>
    </row>
    <row r="662" spans="1:1" x14ac:dyDescent="0.3">
      <c r="A662" s="234"/>
    </row>
    <row r="663" spans="1:1" x14ac:dyDescent="0.3">
      <c r="A663" s="234"/>
    </row>
    <row r="664" spans="1:1" x14ac:dyDescent="0.3">
      <c r="A664" s="234"/>
    </row>
    <row r="665" spans="1:1" x14ac:dyDescent="0.3">
      <c r="A665" s="234"/>
    </row>
    <row r="666" spans="1:1" x14ac:dyDescent="0.3">
      <c r="A666" s="234"/>
    </row>
    <row r="667" spans="1:1" x14ac:dyDescent="0.3">
      <c r="A667" s="234"/>
    </row>
    <row r="668" spans="1:1" x14ac:dyDescent="0.3">
      <c r="A668" s="234"/>
    </row>
    <row r="669" spans="1:1" x14ac:dyDescent="0.3">
      <c r="A669" s="234"/>
    </row>
    <row r="670" spans="1:1" x14ac:dyDescent="0.3">
      <c r="A670" s="234"/>
    </row>
    <row r="671" spans="1:1" x14ac:dyDescent="0.3">
      <c r="A671" s="234"/>
    </row>
    <row r="672" spans="1:1" x14ac:dyDescent="0.3">
      <c r="A672" s="234"/>
    </row>
    <row r="673" spans="1:1" x14ac:dyDescent="0.3">
      <c r="A673" s="234"/>
    </row>
    <row r="674" spans="1:1" x14ac:dyDescent="0.3">
      <c r="A674" s="234"/>
    </row>
    <row r="675" spans="1:1" x14ac:dyDescent="0.3">
      <c r="A675" s="234"/>
    </row>
    <row r="676" spans="1:1" x14ac:dyDescent="0.3">
      <c r="A676" s="234"/>
    </row>
    <row r="677" spans="1:1" x14ac:dyDescent="0.3">
      <c r="A677" s="234"/>
    </row>
    <row r="678" spans="1:1" x14ac:dyDescent="0.3">
      <c r="A678" s="234"/>
    </row>
    <row r="679" spans="1:1" x14ac:dyDescent="0.3">
      <c r="A679" s="234"/>
    </row>
    <row r="680" spans="1:1" x14ac:dyDescent="0.3">
      <c r="A680" s="234"/>
    </row>
    <row r="681" spans="1:1" x14ac:dyDescent="0.3">
      <c r="A681" s="234"/>
    </row>
    <row r="682" spans="1:1" x14ac:dyDescent="0.3">
      <c r="A682" s="234"/>
    </row>
    <row r="683" spans="1:1" x14ac:dyDescent="0.3">
      <c r="A683" s="234"/>
    </row>
    <row r="684" spans="1:1" x14ac:dyDescent="0.3">
      <c r="A684" s="234"/>
    </row>
    <row r="685" spans="1:1" x14ac:dyDescent="0.3">
      <c r="A685" s="234"/>
    </row>
    <row r="686" spans="1:1" x14ac:dyDescent="0.3">
      <c r="A686" s="234"/>
    </row>
    <row r="687" spans="1:1" x14ac:dyDescent="0.3">
      <c r="A687" s="234"/>
    </row>
    <row r="688" spans="1:1" x14ac:dyDescent="0.3">
      <c r="A688" s="234"/>
    </row>
    <row r="689" spans="1:1" x14ac:dyDescent="0.3">
      <c r="A689" s="234"/>
    </row>
    <row r="690" spans="1:1" x14ac:dyDescent="0.3">
      <c r="A690" s="234"/>
    </row>
    <row r="691" spans="1:1" x14ac:dyDescent="0.3">
      <c r="A691" s="234"/>
    </row>
    <row r="692" spans="1:1" x14ac:dyDescent="0.3">
      <c r="A692" s="234"/>
    </row>
    <row r="693" spans="1:1" x14ac:dyDescent="0.3">
      <c r="A693" s="234"/>
    </row>
    <row r="694" spans="1:1" x14ac:dyDescent="0.3">
      <c r="A694" s="234"/>
    </row>
    <row r="695" spans="1:1" x14ac:dyDescent="0.3">
      <c r="A695" s="234"/>
    </row>
    <row r="696" spans="1:1" x14ac:dyDescent="0.3">
      <c r="A696" s="234"/>
    </row>
    <row r="697" spans="1:1" x14ac:dyDescent="0.3">
      <c r="A697" s="234"/>
    </row>
    <row r="698" spans="1:1" x14ac:dyDescent="0.3">
      <c r="A698" s="234"/>
    </row>
    <row r="699" spans="1:1" x14ac:dyDescent="0.3">
      <c r="A699" s="234"/>
    </row>
    <row r="700" spans="1:1" x14ac:dyDescent="0.3">
      <c r="A700" s="234"/>
    </row>
    <row r="701" spans="1:1" x14ac:dyDescent="0.3">
      <c r="A701" s="234"/>
    </row>
    <row r="702" spans="1:1" x14ac:dyDescent="0.3">
      <c r="A702" s="234"/>
    </row>
    <row r="703" spans="1:1" x14ac:dyDescent="0.3">
      <c r="A703" s="234"/>
    </row>
    <row r="704" spans="1:1" x14ac:dyDescent="0.3">
      <c r="A704" s="234"/>
    </row>
    <row r="705" spans="1:1" x14ac:dyDescent="0.3">
      <c r="A705" s="234"/>
    </row>
    <row r="706" spans="1:1" x14ac:dyDescent="0.3">
      <c r="A706" s="234"/>
    </row>
    <row r="707" spans="1:1" x14ac:dyDescent="0.3">
      <c r="A707" s="234"/>
    </row>
    <row r="708" spans="1:1" x14ac:dyDescent="0.3">
      <c r="A708" s="234"/>
    </row>
    <row r="709" spans="1:1" x14ac:dyDescent="0.3">
      <c r="A709" s="234"/>
    </row>
    <row r="710" spans="1:1" x14ac:dyDescent="0.3">
      <c r="A710" s="234"/>
    </row>
    <row r="711" spans="1:1" x14ac:dyDescent="0.3">
      <c r="A711" s="234"/>
    </row>
    <row r="712" spans="1:1" x14ac:dyDescent="0.3">
      <c r="A712" s="234"/>
    </row>
    <row r="713" spans="1:1" x14ac:dyDescent="0.3">
      <c r="A713" s="234"/>
    </row>
    <row r="714" spans="1:1" x14ac:dyDescent="0.3">
      <c r="A714" s="234"/>
    </row>
    <row r="715" spans="1:1" x14ac:dyDescent="0.3">
      <c r="A715" s="234"/>
    </row>
    <row r="716" spans="1:1" x14ac:dyDescent="0.3">
      <c r="A716" s="234"/>
    </row>
    <row r="717" spans="1:1" x14ac:dyDescent="0.3">
      <c r="A717" s="234"/>
    </row>
    <row r="718" spans="1:1" x14ac:dyDescent="0.3">
      <c r="A718" s="234"/>
    </row>
    <row r="719" spans="1:1" x14ac:dyDescent="0.3">
      <c r="A719" s="234"/>
    </row>
    <row r="720" spans="1:1" x14ac:dyDescent="0.3">
      <c r="A720" s="234"/>
    </row>
    <row r="721" spans="1:1" x14ac:dyDescent="0.3">
      <c r="A721" s="234"/>
    </row>
    <row r="722" spans="1:1" x14ac:dyDescent="0.3">
      <c r="A722" s="234"/>
    </row>
    <row r="723" spans="1:1" x14ac:dyDescent="0.3">
      <c r="A723" s="234"/>
    </row>
    <row r="724" spans="1:1" x14ac:dyDescent="0.3">
      <c r="A724" s="234"/>
    </row>
    <row r="725" spans="1:1" x14ac:dyDescent="0.3">
      <c r="A725" s="234"/>
    </row>
    <row r="726" spans="1:1" x14ac:dyDescent="0.3">
      <c r="A726" s="234"/>
    </row>
    <row r="727" spans="1:1" x14ac:dyDescent="0.3">
      <c r="A727" s="234"/>
    </row>
    <row r="728" spans="1:1" x14ac:dyDescent="0.3">
      <c r="A728" s="234"/>
    </row>
    <row r="729" spans="1:1" x14ac:dyDescent="0.3">
      <c r="A729" s="234"/>
    </row>
    <row r="730" spans="1:1" x14ac:dyDescent="0.3">
      <c r="A730" s="234"/>
    </row>
    <row r="731" spans="1:1" x14ac:dyDescent="0.3">
      <c r="A731" s="234"/>
    </row>
    <row r="732" spans="1:1" x14ac:dyDescent="0.3">
      <c r="A732" s="234"/>
    </row>
    <row r="733" spans="1:1" x14ac:dyDescent="0.3">
      <c r="A733" s="234"/>
    </row>
    <row r="734" spans="1:1" x14ac:dyDescent="0.3">
      <c r="A734" s="234"/>
    </row>
    <row r="735" spans="1:1" x14ac:dyDescent="0.3">
      <c r="A735" s="234"/>
    </row>
    <row r="736" spans="1:1" x14ac:dyDescent="0.3">
      <c r="A736" s="234"/>
    </row>
    <row r="737" spans="1:1" x14ac:dyDescent="0.3">
      <c r="A737" s="234"/>
    </row>
    <row r="738" spans="1:1" x14ac:dyDescent="0.3">
      <c r="A738" s="234"/>
    </row>
    <row r="739" spans="1:1" x14ac:dyDescent="0.3">
      <c r="A739" s="234"/>
    </row>
    <row r="740" spans="1:1" x14ac:dyDescent="0.3">
      <c r="A740" s="234"/>
    </row>
    <row r="741" spans="1:1" x14ac:dyDescent="0.3">
      <c r="A741" s="234"/>
    </row>
    <row r="742" spans="1:1" x14ac:dyDescent="0.3">
      <c r="A742" s="234"/>
    </row>
    <row r="743" spans="1:1" x14ac:dyDescent="0.3">
      <c r="A743" s="234"/>
    </row>
    <row r="744" spans="1:1" x14ac:dyDescent="0.3">
      <c r="A744" s="234"/>
    </row>
    <row r="745" spans="1:1" x14ac:dyDescent="0.3">
      <c r="A745" s="234"/>
    </row>
    <row r="746" spans="1:1" x14ac:dyDescent="0.3">
      <c r="A746" s="234"/>
    </row>
    <row r="747" spans="1:1" x14ac:dyDescent="0.3">
      <c r="A747" s="234"/>
    </row>
    <row r="748" spans="1:1" x14ac:dyDescent="0.3">
      <c r="A748" s="234"/>
    </row>
    <row r="749" spans="1:1" x14ac:dyDescent="0.3">
      <c r="A749" s="234"/>
    </row>
    <row r="750" spans="1:1" x14ac:dyDescent="0.3">
      <c r="A750" s="234"/>
    </row>
    <row r="751" spans="1:1" x14ac:dyDescent="0.3">
      <c r="A751" s="234"/>
    </row>
    <row r="752" spans="1:1" x14ac:dyDescent="0.3">
      <c r="A752" s="234"/>
    </row>
    <row r="753" spans="1:1" x14ac:dyDescent="0.3">
      <c r="A753" s="234"/>
    </row>
    <row r="754" spans="1:1" x14ac:dyDescent="0.3">
      <c r="A754" s="234"/>
    </row>
    <row r="755" spans="1:1" x14ac:dyDescent="0.3">
      <c r="A755" s="234"/>
    </row>
    <row r="756" spans="1:1" x14ac:dyDescent="0.3">
      <c r="A756" s="234"/>
    </row>
    <row r="757" spans="1:1" x14ac:dyDescent="0.3">
      <c r="A757" s="234"/>
    </row>
    <row r="758" spans="1:1" x14ac:dyDescent="0.3">
      <c r="A758" s="234"/>
    </row>
    <row r="759" spans="1:1" x14ac:dyDescent="0.3">
      <c r="A759" s="234"/>
    </row>
    <row r="760" spans="1:1" x14ac:dyDescent="0.3">
      <c r="A760" s="234"/>
    </row>
    <row r="761" spans="1:1" x14ac:dyDescent="0.3">
      <c r="A761" s="234"/>
    </row>
    <row r="762" spans="1:1" x14ac:dyDescent="0.3">
      <c r="A762" s="234"/>
    </row>
    <row r="763" spans="1:1" x14ac:dyDescent="0.3">
      <c r="A763" s="234"/>
    </row>
    <row r="764" spans="1:1" x14ac:dyDescent="0.3">
      <c r="A764" s="234"/>
    </row>
    <row r="765" spans="1:1" x14ac:dyDescent="0.3">
      <c r="A765" s="234"/>
    </row>
    <row r="766" spans="1:1" x14ac:dyDescent="0.3">
      <c r="A766" s="234"/>
    </row>
    <row r="767" spans="1:1" x14ac:dyDescent="0.3">
      <c r="A767" s="234"/>
    </row>
    <row r="768" spans="1:1" x14ac:dyDescent="0.3">
      <c r="A768" s="234"/>
    </row>
    <row r="769" spans="1:1" x14ac:dyDescent="0.3">
      <c r="A769" s="234"/>
    </row>
    <row r="770" spans="1:1" x14ac:dyDescent="0.3">
      <c r="A770" s="234"/>
    </row>
    <row r="771" spans="1:1" x14ac:dyDescent="0.3">
      <c r="A771" s="234"/>
    </row>
    <row r="772" spans="1:1" x14ac:dyDescent="0.3">
      <c r="A772" s="234"/>
    </row>
    <row r="773" spans="1:1" x14ac:dyDescent="0.3">
      <c r="A773" s="234"/>
    </row>
    <row r="774" spans="1:1" x14ac:dyDescent="0.3">
      <c r="A774" s="234"/>
    </row>
    <row r="775" spans="1:1" x14ac:dyDescent="0.3">
      <c r="A775" s="234"/>
    </row>
    <row r="776" spans="1:1" x14ac:dyDescent="0.3">
      <c r="A776" s="234"/>
    </row>
    <row r="777" spans="1:1" x14ac:dyDescent="0.3">
      <c r="A777" s="234"/>
    </row>
    <row r="778" spans="1:1" x14ac:dyDescent="0.3">
      <c r="A778" s="234"/>
    </row>
    <row r="779" spans="1:1" x14ac:dyDescent="0.3">
      <c r="A779" s="234"/>
    </row>
    <row r="780" spans="1:1" x14ac:dyDescent="0.3">
      <c r="A780" s="234"/>
    </row>
    <row r="781" spans="1:1" x14ac:dyDescent="0.3">
      <c r="A781" s="234"/>
    </row>
    <row r="782" spans="1:1" x14ac:dyDescent="0.3">
      <c r="A782" s="234"/>
    </row>
    <row r="783" spans="1:1" x14ac:dyDescent="0.3">
      <c r="A783" s="234"/>
    </row>
    <row r="784" spans="1:1" x14ac:dyDescent="0.3">
      <c r="A784" s="234"/>
    </row>
    <row r="785" spans="1:1" x14ac:dyDescent="0.3">
      <c r="A785" s="234"/>
    </row>
    <row r="786" spans="1:1" x14ac:dyDescent="0.3">
      <c r="A786" s="234"/>
    </row>
    <row r="787" spans="1:1" x14ac:dyDescent="0.3">
      <c r="A787" s="234"/>
    </row>
    <row r="788" spans="1:1" x14ac:dyDescent="0.3">
      <c r="A788" s="234"/>
    </row>
    <row r="789" spans="1:1" x14ac:dyDescent="0.3">
      <c r="A789" s="234"/>
    </row>
    <row r="790" spans="1:1" x14ac:dyDescent="0.3">
      <c r="A790" s="234"/>
    </row>
    <row r="791" spans="1:1" x14ac:dyDescent="0.3">
      <c r="A791" s="234"/>
    </row>
    <row r="792" spans="1:1" x14ac:dyDescent="0.3">
      <c r="A792" s="234"/>
    </row>
    <row r="793" spans="1:1" x14ac:dyDescent="0.3">
      <c r="A793" s="234"/>
    </row>
    <row r="794" spans="1:1" x14ac:dyDescent="0.3">
      <c r="A794" s="234"/>
    </row>
    <row r="795" spans="1:1" x14ac:dyDescent="0.3">
      <c r="A795" s="234"/>
    </row>
    <row r="796" spans="1:1" x14ac:dyDescent="0.3">
      <c r="A796" s="234"/>
    </row>
    <row r="797" spans="1:1" x14ac:dyDescent="0.3">
      <c r="A797" s="234"/>
    </row>
    <row r="798" spans="1:1" x14ac:dyDescent="0.3">
      <c r="A798" s="234"/>
    </row>
    <row r="799" spans="1:1" x14ac:dyDescent="0.3">
      <c r="A799" s="234"/>
    </row>
    <row r="800" spans="1:1" x14ac:dyDescent="0.3">
      <c r="A800" s="234"/>
    </row>
    <row r="801" spans="1:1" x14ac:dyDescent="0.3">
      <c r="A801" s="234"/>
    </row>
    <row r="802" spans="1:1" x14ac:dyDescent="0.3">
      <c r="A802" s="234"/>
    </row>
    <row r="803" spans="1:1" x14ac:dyDescent="0.3">
      <c r="A803" s="234"/>
    </row>
    <row r="804" spans="1:1" x14ac:dyDescent="0.3">
      <c r="A804" s="234"/>
    </row>
    <row r="805" spans="1:1" x14ac:dyDescent="0.3">
      <c r="A805" s="234"/>
    </row>
    <row r="806" spans="1:1" x14ac:dyDescent="0.3">
      <c r="A806" s="234"/>
    </row>
    <row r="807" spans="1:1" x14ac:dyDescent="0.3">
      <c r="A807" s="234"/>
    </row>
    <row r="808" spans="1:1" x14ac:dyDescent="0.3">
      <c r="A808" s="234"/>
    </row>
    <row r="809" spans="1:1" x14ac:dyDescent="0.3">
      <c r="A809" s="234"/>
    </row>
    <row r="810" spans="1:1" x14ac:dyDescent="0.3">
      <c r="A810" s="234"/>
    </row>
    <row r="811" spans="1:1" x14ac:dyDescent="0.3">
      <c r="A811" s="234"/>
    </row>
    <row r="812" spans="1:1" x14ac:dyDescent="0.3">
      <c r="A812" s="234"/>
    </row>
    <row r="813" spans="1:1" x14ac:dyDescent="0.3">
      <c r="A813" s="234"/>
    </row>
    <row r="814" spans="1:1" x14ac:dyDescent="0.3">
      <c r="A814" s="234"/>
    </row>
    <row r="815" spans="1:1" x14ac:dyDescent="0.3">
      <c r="A815" s="234"/>
    </row>
    <row r="816" spans="1:1" x14ac:dyDescent="0.3">
      <c r="A816" s="234"/>
    </row>
    <row r="817" spans="1:1" x14ac:dyDescent="0.3">
      <c r="A817" s="234"/>
    </row>
    <row r="818" spans="1:1" x14ac:dyDescent="0.3">
      <c r="A818" s="234"/>
    </row>
    <row r="819" spans="1:1" x14ac:dyDescent="0.3">
      <c r="A819" s="234"/>
    </row>
    <row r="820" spans="1:1" x14ac:dyDescent="0.3">
      <c r="A820" s="234"/>
    </row>
    <row r="821" spans="1:1" x14ac:dyDescent="0.3">
      <c r="A821" s="234"/>
    </row>
    <row r="822" spans="1:1" x14ac:dyDescent="0.3">
      <c r="A822" s="234"/>
    </row>
    <row r="823" spans="1:1" x14ac:dyDescent="0.3">
      <c r="A823" s="234"/>
    </row>
    <row r="824" spans="1:1" x14ac:dyDescent="0.3">
      <c r="A824" s="234"/>
    </row>
    <row r="825" spans="1:1" x14ac:dyDescent="0.3">
      <c r="A825" s="234"/>
    </row>
    <row r="826" spans="1:1" x14ac:dyDescent="0.3">
      <c r="A826" s="234"/>
    </row>
    <row r="827" spans="1:1" x14ac:dyDescent="0.3">
      <c r="A827" s="234"/>
    </row>
    <row r="828" spans="1:1" x14ac:dyDescent="0.3">
      <c r="A828" s="234"/>
    </row>
    <row r="829" spans="1:1" x14ac:dyDescent="0.3">
      <c r="A829" s="234"/>
    </row>
    <row r="830" spans="1:1" x14ac:dyDescent="0.3">
      <c r="A830" s="234"/>
    </row>
    <row r="831" spans="1:1" x14ac:dyDescent="0.3">
      <c r="A831" s="234"/>
    </row>
    <row r="832" spans="1:1" x14ac:dyDescent="0.3">
      <c r="A832" s="234"/>
    </row>
    <row r="833" spans="1:1" x14ac:dyDescent="0.3">
      <c r="A833" s="234"/>
    </row>
    <row r="834" spans="1:1" x14ac:dyDescent="0.3">
      <c r="A834" s="234"/>
    </row>
    <row r="835" spans="1:1" x14ac:dyDescent="0.3">
      <c r="A835" s="234"/>
    </row>
    <row r="836" spans="1:1" x14ac:dyDescent="0.3">
      <c r="A836" s="234"/>
    </row>
    <row r="837" spans="1:1" x14ac:dyDescent="0.3">
      <c r="A837" s="234"/>
    </row>
    <row r="838" spans="1:1" x14ac:dyDescent="0.3">
      <c r="A838" s="234"/>
    </row>
    <row r="839" spans="1:1" x14ac:dyDescent="0.3">
      <c r="A839" s="234"/>
    </row>
    <row r="840" spans="1:1" x14ac:dyDescent="0.3">
      <c r="A840" s="234"/>
    </row>
    <row r="841" spans="1:1" x14ac:dyDescent="0.3">
      <c r="A841" s="234"/>
    </row>
    <row r="842" spans="1:1" x14ac:dyDescent="0.3">
      <c r="A842" s="234"/>
    </row>
    <row r="843" spans="1:1" x14ac:dyDescent="0.3">
      <c r="A843" s="234"/>
    </row>
    <row r="844" spans="1:1" x14ac:dyDescent="0.3">
      <c r="A844" s="234"/>
    </row>
    <row r="845" spans="1:1" x14ac:dyDescent="0.3">
      <c r="A845" s="234"/>
    </row>
    <row r="846" spans="1:1" x14ac:dyDescent="0.3">
      <c r="A846" s="234"/>
    </row>
    <row r="847" spans="1:1" x14ac:dyDescent="0.3">
      <c r="A847" s="234"/>
    </row>
    <row r="848" spans="1:1" x14ac:dyDescent="0.3">
      <c r="A848" s="234"/>
    </row>
    <row r="849" spans="1:1" x14ac:dyDescent="0.3">
      <c r="A849" s="234"/>
    </row>
    <row r="850" spans="1:1" x14ac:dyDescent="0.3">
      <c r="A850" s="234"/>
    </row>
    <row r="851" spans="1:1" x14ac:dyDescent="0.3">
      <c r="A851" s="234"/>
    </row>
    <row r="852" spans="1:1" x14ac:dyDescent="0.3">
      <c r="A852" s="234"/>
    </row>
    <row r="853" spans="1:1" x14ac:dyDescent="0.3">
      <c r="A853" s="234"/>
    </row>
    <row r="854" spans="1:1" x14ac:dyDescent="0.3">
      <c r="A854" s="234"/>
    </row>
    <row r="855" spans="1:1" x14ac:dyDescent="0.3">
      <c r="A855" s="234"/>
    </row>
    <row r="856" spans="1:1" x14ac:dyDescent="0.3">
      <c r="A856" s="234"/>
    </row>
    <row r="857" spans="1:1" x14ac:dyDescent="0.3">
      <c r="A857" s="234"/>
    </row>
    <row r="858" spans="1:1" x14ac:dyDescent="0.3">
      <c r="A858" s="234"/>
    </row>
    <row r="859" spans="1:1" x14ac:dyDescent="0.3">
      <c r="A859" s="234"/>
    </row>
    <row r="860" spans="1:1" x14ac:dyDescent="0.3">
      <c r="A860" s="234"/>
    </row>
    <row r="861" spans="1:1" x14ac:dyDescent="0.3">
      <c r="A861" s="234"/>
    </row>
    <row r="862" spans="1:1" x14ac:dyDescent="0.3">
      <c r="A862" s="234"/>
    </row>
    <row r="863" spans="1:1" x14ac:dyDescent="0.3">
      <c r="A863" s="234"/>
    </row>
    <row r="864" spans="1:1" x14ac:dyDescent="0.3">
      <c r="A864" s="234"/>
    </row>
    <row r="865" spans="1:1" x14ac:dyDescent="0.3">
      <c r="A865" s="234"/>
    </row>
    <row r="866" spans="1:1" x14ac:dyDescent="0.3">
      <c r="A866" s="234"/>
    </row>
    <row r="867" spans="1:1" x14ac:dyDescent="0.3">
      <c r="A867" s="234"/>
    </row>
    <row r="868" spans="1:1" x14ac:dyDescent="0.3">
      <c r="A868" s="234"/>
    </row>
    <row r="869" spans="1:1" x14ac:dyDescent="0.3">
      <c r="A869" s="234"/>
    </row>
    <row r="870" spans="1:1" x14ac:dyDescent="0.3">
      <c r="A870" s="234"/>
    </row>
    <row r="871" spans="1:1" x14ac:dyDescent="0.3">
      <c r="A871" s="234"/>
    </row>
    <row r="872" spans="1:1" x14ac:dyDescent="0.3">
      <c r="A872" s="234"/>
    </row>
    <row r="873" spans="1:1" x14ac:dyDescent="0.3">
      <c r="A873" s="234"/>
    </row>
    <row r="874" spans="1:1" x14ac:dyDescent="0.3">
      <c r="A874" s="234"/>
    </row>
    <row r="875" spans="1:1" x14ac:dyDescent="0.3">
      <c r="A875" s="234"/>
    </row>
    <row r="876" spans="1:1" x14ac:dyDescent="0.3">
      <c r="A876" s="234"/>
    </row>
    <row r="877" spans="1:1" x14ac:dyDescent="0.3">
      <c r="A877" s="234"/>
    </row>
    <row r="878" spans="1:1" x14ac:dyDescent="0.3">
      <c r="A878" s="234"/>
    </row>
    <row r="879" spans="1:1" x14ac:dyDescent="0.3">
      <c r="A879" s="234"/>
    </row>
    <row r="880" spans="1:1" x14ac:dyDescent="0.3">
      <c r="A880" s="234"/>
    </row>
    <row r="881" spans="1:1" x14ac:dyDescent="0.3">
      <c r="A881" s="234"/>
    </row>
    <row r="882" spans="1:1" x14ac:dyDescent="0.3">
      <c r="A882" s="234"/>
    </row>
    <row r="883" spans="1:1" x14ac:dyDescent="0.3">
      <c r="A883" s="234"/>
    </row>
    <row r="884" spans="1:1" x14ac:dyDescent="0.3">
      <c r="A884" s="234"/>
    </row>
    <row r="885" spans="1:1" x14ac:dyDescent="0.3">
      <c r="A885" s="234"/>
    </row>
    <row r="886" spans="1:1" x14ac:dyDescent="0.3">
      <c r="A886" s="234"/>
    </row>
    <row r="887" spans="1:1" x14ac:dyDescent="0.3">
      <c r="A887" s="234"/>
    </row>
    <row r="888" spans="1:1" x14ac:dyDescent="0.3">
      <c r="A888" s="234"/>
    </row>
    <row r="889" spans="1:1" x14ac:dyDescent="0.3">
      <c r="A889" s="234"/>
    </row>
    <row r="890" spans="1:1" x14ac:dyDescent="0.3">
      <c r="A890" s="234"/>
    </row>
    <row r="891" spans="1:1" x14ac:dyDescent="0.3">
      <c r="A891" s="234"/>
    </row>
    <row r="892" spans="1:1" x14ac:dyDescent="0.3">
      <c r="A892" s="234"/>
    </row>
    <row r="893" spans="1:1" x14ac:dyDescent="0.3">
      <c r="A893" s="234"/>
    </row>
    <row r="894" spans="1:1" x14ac:dyDescent="0.3">
      <c r="A894" s="234"/>
    </row>
    <row r="895" spans="1:1" x14ac:dyDescent="0.3">
      <c r="A895" s="234"/>
    </row>
    <row r="896" spans="1:1" x14ac:dyDescent="0.3">
      <c r="A896" s="234"/>
    </row>
    <row r="897" spans="1:1" x14ac:dyDescent="0.3">
      <c r="A897" s="234"/>
    </row>
    <row r="898" spans="1:1" x14ac:dyDescent="0.3">
      <c r="A898" s="234"/>
    </row>
    <row r="899" spans="1:1" x14ac:dyDescent="0.3">
      <c r="A899" s="234"/>
    </row>
    <row r="900" spans="1:1" x14ac:dyDescent="0.3">
      <c r="A900" s="234"/>
    </row>
    <row r="901" spans="1:1" x14ac:dyDescent="0.3">
      <c r="A901" s="234"/>
    </row>
    <row r="902" spans="1:1" x14ac:dyDescent="0.3">
      <c r="A902" s="234"/>
    </row>
    <row r="903" spans="1:1" x14ac:dyDescent="0.3">
      <c r="A903" s="234"/>
    </row>
    <row r="904" spans="1:1" x14ac:dyDescent="0.3">
      <c r="A904" s="234"/>
    </row>
    <row r="905" spans="1:1" x14ac:dyDescent="0.3">
      <c r="A905" s="234"/>
    </row>
    <row r="906" spans="1:1" x14ac:dyDescent="0.3">
      <c r="A906" s="234"/>
    </row>
    <row r="907" spans="1:1" x14ac:dyDescent="0.3">
      <c r="A907" s="234"/>
    </row>
    <row r="908" spans="1:1" x14ac:dyDescent="0.3">
      <c r="A908" s="234"/>
    </row>
    <row r="909" spans="1:1" x14ac:dyDescent="0.3">
      <c r="A909" s="234"/>
    </row>
    <row r="910" spans="1:1" x14ac:dyDescent="0.3">
      <c r="A910" s="234"/>
    </row>
    <row r="911" spans="1:1" x14ac:dyDescent="0.3">
      <c r="A911" s="234"/>
    </row>
    <row r="912" spans="1:1" x14ac:dyDescent="0.3">
      <c r="A912" s="234"/>
    </row>
    <row r="913" spans="1:1" x14ac:dyDescent="0.3">
      <c r="A913" s="234"/>
    </row>
    <row r="914" spans="1:1" x14ac:dyDescent="0.3">
      <c r="A914" s="234"/>
    </row>
    <row r="915" spans="1:1" x14ac:dyDescent="0.3">
      <c r="A915" s="234"/>
    </row>
    <row r="916" spans="1:1" x14ac:dyDescent="0.3">
      <c r="A916" s="234"/>
    </row>
    <row r="917" spans="1:1" x14ac:dyDescent="0.3">
      <c r="A917" s="234"/>
    </row>
    <row r="918" spans="1:1" x14ac:dyDescent="0.3">
      <c r="A918" s="234"/>
    </row>
    <row r="919" spans="1:1" x14ac:dyDescent="0.3">
      <c r="A919" s="234"/>
    </row>
    <row r="920" spans="1:1" x14ac:dyDescent="0.3">
      <c r="A920" s="234"/>
    </row>
    <row r="921" spans="1:1" x14ac:dyDescent="0.3">
      <c r="A921" s="234"/>
    </row>
    <row r="922" spans="1:1" x14ac:dyDescent="0.3">
      <c r="A922" s="234"/>
    </row>
    <row r="923" spans="1:1" x14ac:dyDescent="0.3">
      <c r="A923" s="234"/>
    </row>
    <row r="924" spans="1:1" x14ac:dyDescent="0.3">
      <c r="A924" s="234"/>
    </row>
    <row r="925" spans="1:1" x14ac:dyDescent="0.3">
      <c r="A925" s="234"/>
    </row>
    <row r="926" spans="1:1" x14ac:dyDescent="0.3">
      <c r="A926" s="234"/>
    </row>
    <row r="927" spans="1:1" x14ac:dyDescent="0.3">
      <c r="A927" s="234"/>
    </row>
    <row r="928" spans="1:1" x14ac:dyDescent="0.3">
      <c r="A928" s="234"/>
    </row>
    <row r="929" spans="1:1" x14ac:dyDescent="0.3">
      <c r="A929" s="234"/>
    </row>
    <row r="930" spans="1:1" x14ac:dyDescent="0.3">
      <c r="A930" s="234"/>
    </row>
    <row r="931" spans="1:1" x14ac:dyDescent="0.3">
      <c r="A931" s="234"/>
    </row>
    <row r="932" spans="1:1" x14ac:dyDescent="0.3">
      <c r="A932" s="234"/>
    </row>
    <row r="933" spans="1:1" x14ac:dyDescent="0.3">
      <c r="A933" s="234"/>
    </row>
    <row r="934" spans="1:1" x14ac:dyDescent="0.3">
      <c r="A934" s="234"/>
    </row>
    <row r="935" spans="1:1" x14ac:dyDescent="0.3">
      <c r="A935" s="234"/>
    </row>
    <row r="936" spans="1:1" x14ac:dyDescent="0.3">
      <c r="A936" s="234"/>
    </row>
    <row r="937" spans="1:1" x14ac:dyDescent="0.3">
      <c r="A937" s="234"/>
    </row>
    <row r="938" spans="1:1" x14ac:dyDescent="0.3">
      <c r="A938" s="234"/>
    </row>
    <row r="939" spans="1:1" x14ac:dyDescent="0.3">
      <c r="A939" s="234"/>
    </row>
    <row r="940" spans="1:1" x14ac:dyDescent="0.3">
      <c r="A940" s="234"/>
    </row>
    <row r="941" spans="1:1" x14ac:dyDescent="0.3">
      <c r="A941" s="234"/>
    </row>
    <row r="942" spans="1:1" x14ac:dyDescent="0.3">
      <c r="A942" s="234"/>
    </row>
    <row r="943" spans="1:1" x14ac:dyDescent="0.3">
      <c r="A943" s="234"/>
    </row>
    <row r="944" spans="1:1" x14ac:dyDescent="0.3">
      <c r="A944" s="234"/>
    </row>
    <row r="945" spans="1:1" x14ac:dyDescent="0.3">
      <c r="A945" s="234"/>
    </row>
    <row r="946" spans="1:1" x14ac:dyDescent="0.3">
      <c r="A946" s="234"/>
    </row>
    <row r="947" spans="1:1" x14ac:dyDescent="0.3">
      <c r="A947" s="234"/>
    </row>
    <row r="948" spans="1:1" x14ac:dyDescent="0.3">
      <c r="A948" s="234"/>
    </row>
    <row r="949" spans="1:1" x14ac:dyDescent="0.3">
      <c r="A949" s="234"/>
    </row>
    <row r="950" spans="1:1" x14ac:dyDescent="0.3">
      <c r="A950" s="234"/>
    </row>
    <row r="951" spans="1:1" x14ac:dyDescent="0.3">
      <c r="A951" s="234"/>
    </row>
    <row r="952" spans="1:1" x14ac:dyDescent="0.3">
      <c r="A952" s="234"/>
    </row>
    <row r="953" spans="1:1" x14ac:dyDescent="0.3">
      <c r="A953" s="234"/>
    </row>
    <row r="954" spans="1:1" x14ac:dyDescent="0.3">
      <c r="A954" s="234"/>
    </row>
    <row r="955" spans="1:1" x14ac:dyDescent="0.3">
      <c r="A955" s="234"/>
    </row>
    <row r="956" spans="1:1" x14ac:dyDescent="0.3">
      <c r="A956" s="234"/>
    </row>
    <row r="957" spans="1:1" x14ac:dyDescent="0.3">
      <c r="A957" s="234"/>
    </row>
    <row r="958" spans="1:1" x14ac:dyDescent="0.3">
      <c r="A958" s="234"/>
    </row>
    <row r="959" spans="1:1" x14ac:dyDescent="0.3">
      <c r="A959" s="234"/>
    </row>
    <row r="960" spans="1:1" x14ac:dyDescent="0.3">
      <c r="A960" s="234"/>
    </row>
    <row r="961" spans="1:1" x14ac:dyDescent="0.3">
      <c r="A961" s="234"/>
    </row>
    <row r="962" spans="1:1" x14ac:dyDescent="0.3">
      <c r="A962" s="234"/>
    </row>
    <row r="963" spans="1:1" x14ac:dyDescent="0.3">
      <c r="A963" s="234"/>
    </row>
    <row r="964" spans="1:1" x14ac:dyDescent="0.3">
      <c r="A964" s="234"/>
    </row>
    <row r="965" spans="1:1" x14ac:dyDescent="0.3">
      <c r="A965" s="234"/>
    </row>
    <row r="966" spans="1:1" x14ac:dyDescent="0.3">
      <c r="A966" s="234"/>
    </row>
    <row r="967" spans="1:1" x14ac:dyDescent="0.3">
      <c r="A967" s="234"/>
    </row>
    <row r="968" spans="1:1" x14ac:dyDescent="0.3">
      <c r="A968" s="234"/>
    </row>
    <row r="969" spans="1:1" x14ac:dyDescent="0.3">
      <c r="A969" s="234"/>
    </row>
    <row r="970" spans="1:1" x14ac:dyDescent="0.3">
      <c r="A970" s="234"/>
    </row>
    <row r="971" spans="1:1" x14ac:dyDescent="0.3">
      <c r="A971" s="234"/>
    </row>
    <row r="972" spans="1:1" x14ac:dyDescent="0.3">
      <c r="A972" s="234"/>
    </row>
    <row r="973" spans="1:1" x14ac:dyDescent="0.3">
      <c r="A973" s="234"/>
    </row>
    <row r="974" spans="1:1" x14ac:dyDescent="0.3">
      <c r="A974" s="234"/>
    </row>
    <row r="975" spans="1:1" x14ac:dyDescent="0.3">
      <c r="A975" s="234"/>
    </row>
    <row r="976" spans="1:1" x14ac:dyDescent="0.3">
      <c r="A976" s="234"/>
    </row>
    <row r="977" spans="1:1" x14ac:dyDescent="0.3">
      <c r="A977" s="234"/>
    </row>
    <row r="978" spans="1:1" x14ac:dyDescent="0.3">
      <c r="A978" s="234"/>
    </row>
    <row r="979" spans="1:1" x14ac:dyDescent="0.3">
      <c r="A979" s="234"/>
    </row>
    <row r="980" spans="1:1" x14ac:dyDescent="0.3">
      <c r="A980" s="234"/>
    </row>
    <row r="981" spans="1:1" x14ac:dyDescent="0.3">
      <c r="A981" s="234"/>
    </row>
    <row r="982" spans="1:1" x14ac:dyDescent="0.3">
      <c r="A982" s="234"/>
    </row>
    <row r="983" spans="1:1" x14ac:dyDescent="0.3">
      <c r="A983" s="234"/>
    </row>
    <row r="984" spans="1:1" x14ac:dyDescent="0.3">
      <c r="A984" s="234"/>
    </row>
    <row r="985" spans="1:1" x14ac:dyDescent="0.3">
      <c r="A985" s="234"/>
    </row>
    <row r="986" spans="1:1" x14ac:dyDescent="0.3">
      <c r="A986" s="234"/>
    </row>
    <row r="987" spans="1:1" x14ac:dyDescent="0.3">
      <c r="A987" s="234"/>
    </row>
    <row r="988" spans="1:1" x14ac:dyDescent="0.3">
      <c r="A988" s="234"/>
    </row>
    <row r="989" spans="1:1" x14ac:dyDescent="0.3">
      <c r="A989" s="234"/>
    </row>
    <row r="990" spans="1:1" x14ac:dyDescent="0.3">
      <c r="A990" s="234"/>
    </row>
    <row r="991" spans="1:1" x14ac:dyDescent="0.3">
      <c r="A991" s="234"/>
    </row>
    <row r="992" spans="1:1" x14ac:dyDescent="0.3">
      <c r="A992" s="234"/>
    </row>
    <row r="993" spans="1:1" x14ac:dyDescent="0.3">
      <c r="A993" s="234"/>
    </row>
    <row r="994" spans="1:1" x14ac:dyDescent="0.3">
      <c r="A994" s="234"/>
    </row>
    <row r="995" spans="1:1" x14ac:dyDescent="0.3">
      <c r="A995" s="234"/>
    </row>
    <row r="996" spans="1:1" x14ac:dyDescent="0.3">
      <c r="A996" s="234"/>
    </row>
    <row r="997" spans="1:1" x14ac:dyDescent="0.3">
      <c r="A997" s="234"/>
    </row>
    <row r="998" spans="1:1" x14ac:dyDescent="0.3">
      <c r="A998" s="234"/>
    </row>
    <row r="999" spans="1:1" x14ac:dyDescent="0.3">
      <c r="A999" s="234"/>
    </row>
    <row r="1000" spans="1:1" x14ac:dyDescent="0.3">
      <c r="A1000" s="234"/>
    </row>
    <row r="1001" spans="1:1" x14ac:dyDescent="0.3">
      <c r="A1001" s="234"/>
    </row>
    <row r="1002" spans="1:1" x14ac:dyDescent="0.3">
      <c r="A1002" s="234"/>
    </row>
    <row r="1003" spans="1:1" x14ac:dyDescent="0.3">
      <c r="A1003" s="234"/>
    </row>
    <row r="1004" spans="1:1" x14ac:dyDescent="0.3">
      <c r="A1004" s="234"/>
    </row>
    <row r="1005" spans="1:1" x14ac:dyDescent="0.3">
      <c r="A1005" s="234"/>
    </row>
    <row r="1006" spans="1:1" x14ac:dyDescent="0.3">
      <c r="A1006" s="234"/>
    </row>
    <row r="1007" spans="1:1" x14ac:dyDescent="0.3">
      <c r="A1007" s="234"/>
    </row>
    <row r="1008" spans="1:1" x14ac:dyDescent="0.3">
      <c r="A1008" s="234"/>
    </row>
    <row r="1009" spans="1:1" x14ac:dyDescent="0.3">
      <c r="A1009" s="234"/>
    </row>
    <row r="1010" spans="1:1" x14ac:dyDescent="0.3">
      <c r="A1010" s="234"/>
    </row>
    <row r="1011" spans="1:1" x14ac:dyDescent="0.3">
      <c r="A1011" s="234"/>
    </row>
    <row r="1012" spans="1:1" x14ac:dyDescent="0.3">
      <c r="A1012" s="234"/>
    </row>
    <row r="1013" spans="1:1" x14ac:dyDescent="0.3">
      <c r="A1013" s="234"/>
    </row>
    <row r="1014" spans="1:1" x14ac:dyDescent="0.3">
      <c r="A1014" s="234"/>
    </row>
    <row r="1015" spans="1:1" x14ac:dyDescent="0.3">
      <c r="A1015" s="234"/>
    </row>
    <row r="1016" spans="1:1" x14ac:dyDescent="0.3">
      <c r="A1016" s="234"/>
    </row>
    <row r="1017" spans="1:1" x14ac:dyDescent="0.3">
      <c r="A1017" s="234"/>
    </row>
    <row r="1018" spans="1:1" x14ac:dyDescent="0.3">
      <c r="A1018" s="234"/>
    </row>
    <row r="1019" spans="1:1" x14ac:dyDescent="0.3">
      <c r="A1019" s="234"/>
    </row>
    <row r="1020" spans="1:1" x14ac:dyDescent="0.3">
      <c r="A1020" s="234"/>
    </row>
    <row r="1021" spans="1:1" x14ac:dyDescent="0.3">
      <c r="A1021" s="234"/>
    </row>
    <row r="1022" spans="1:1" x14ac:dyDescent="0.3">
      <c r="A1022" s="234"/>
    </row>
    <row r="1023" spans="1:1" x14ac:dyDescent="0.3">
      <c r="A1023" s="234"/>
    </row>
    <row r="1024" spans="1:1" x14ac:dyDescent="0.3">
      <c r="A1024" s="234"/>
    </row>
    <row r="1025" spans="1:1" x14ac:dyDescent="0.3">
      <c r="A1025" s="234"/>
    </row>
    <row r="1026" spans="1:1" x14ac:dyDescent="0.3">
      <c r="A1026" s="234"/>
    </row>
    <row r="1027" spans="1:1" x14ac:dyDescent="0.3">
      <c r="A1027" s="234"/>
    </row>
    <row r="1028" spans="1:1" x14ac:dyDescent="0.3">
      <c r="A1028" s="234"/>
    </row>
    <row r="1029" spans="1:1" x14ac:dyDescent="0.3">
      <c r="A1029" s="234"/>
    </row>
    <row r="1030" spans="1:1" x14ac:dyDescent="0.3">
      <c r="A1030" s="234"/>
    </row>
    <row r="1031" spans="1:1" x14ac:dyDescent="0.3">
      <c r="A1031" s="234"/>
    </row>
    <row r="1032" spans="1:1" x14ac:dyDescent="0.3">
      <c r="A1032" s="234"/>
    </row>
    <row r="1033" spans="1:1" x14ac:dyDescent="0.3">
      <c r="A1033" s="234"/>
    </row>
    <row r="1034" spans="1:1" x14ac:dyDescent="0.3">
      <c r="A1034" s="234"/>
    </row>
    <row r="1035" spans="1:1" x14ac:dyDescent="0.3">
      <c r="A1035" s="234"/>
    </row>
    <row r="1036" spans="1:1" x14ac:dyDescent="0.3">
      <c r="A1036" s="234"/>
    </row>
    <row r="1037" spans="1:1" x14ac:dyDescent="0.3">
      <c r="A1037" s="234"/>
    </row>
    <row r="1038" spans="1:1" x14ac:dyDescent="0.3">
      <c r="A1038" s="234"/>
    </row>
    <row r="1039" spans="1:1" x14ac:dyDescent="0.3">
      <c r="A1039" s="234"/>
    </row>
    <row r="1040" spans="1:1" x14ac:dyDescent="0.3">
      <c r="A1040" s="234"/>
    </row>
    <row r="1041" spans="1:1" x14ac:dyDescent="0.3">
      <c r="A1041" s="234"/>
    </row>
    <row r="1042" spans="1:1" x14ac:dyDescent="0.3">
      <c r="A1042" s="234"/>
    </row>
    <row r="1043" spans="1:1" x14ac:dyDescent="0.3">
      <c r="A1043" s="234"/>
    </row>
    <row r="1044" spans="1:1" x14ac:dyDescent="0.3">
      <c r="A1044" s="234"/>
    </row>
    <row r="1045" spans="1:1" x14ac:dyDescent="0.3">
      <c r="A1045" s="234"/>
    </row>
    <row r="1046" spans="1:1" x14ac:dyDescent="0.3">
      <c r="A1046" s="234"/>
    </row>
    <row r="1047" spans="1:1" x14ac:dyDescent="0.3">
      <c r="A1047" s="234"/>
    </row>
    <row r="1048" spans="1:1" x14ac:dyDescent="0.3">
      <c r="A1048" s="234"/>
    </row>
    <row r="1049" spans="1:1" x14ac:dyDescent="0.3">
      <c r="A1049" s="234"/>
    </row>
    <row r="1050" spans="1:1" x14ac:dyDescent="0.3">
      <c r="A1050" s="234"/>
    </row>
    <row r="1051" spans="1:1" x14ac:dyDescent="0.3">
      <c r="A1051" s="234"/>
    </row>
    <row r="1052" spans="1:1" x14ac:dyDescent="0.3">
      <c r="A1052" s="234"/>
    </row>
    <row r="1053" spans="1:1" x14ac:dyDescent="0.3">
      <c r="A1053" s="234"/>
    </row>
    <row r="1054" spans="1:1" x14ac:dyDescent="0.3">
      <c r="A1054" s="234"/>
    </row>
    <row r="1055" spans="1:1" x14ac:dyDescent="0.3">
      <c r="A1055" s="234"/>
    </row>
    <row r="1056" spans="1:1" x14ac:dyDescent="0.3">
      <c r="A1056" s="234"/>
    </row>
    <row r="1057" spans="1:1" x14ac:dyDescent="0.3">
      <c r="A1057" s="234"/>
    </row>
    <row r="1058" spans="1:1" x14ac:dyDescent="0.3">
      <c r="A1058" s="234"/>
    </row>
    <row r="1059" spans="1:1" x14ac:dyDescent="0.3">
      <c r="A1059" s="234"/>
    </row>
    <row r="1060" spans="1:1" x14ac:dyDescent="0.3">
      <c r="A1060" s="234"/>
    </row>
    <row r="1061" spans="1:1" x14ac:dyDescent="0.3">
      <c r="A1061" s="234"/>
    </row>
    <row r="1062" spans="1:1" x14ac:dyDescent="0.3">
      <c r="A1062" s="234"/>
    </row>
    <row r="1063" spans="1:1" x14ac:dyDescent="0.3">
      <c r="A1063" s="234"/>
    </row>
    <row r="1064" spans="1:1" x14ac:dyDescent="0.3">
      <c r="A1064" s="234"/>
    </row>
    <row r="1065" spans="1:1" x14ac:dyDescent="0.3">
      <c r="A1065" s="234"/>
    </row>
    <row r="1066" spans="1:1" x14ac:dyDescent="0.3">
      <c r="A1066" s="234"/>
    </row>
    <row r="1067" spans="1:1" x14ac:dyDescent="0.3">
      <c r="A1067" s="234"/>
    </row>
    <row r="1068" spans="1:1" x14ac:dyDescent="0.3">
      <c r="A1068" s="234"/>
    </row>
    <row r="1069" spans="1:1" x14ac:dyDescent="0.3">
      <c r="A1069" s="234"/>
    </row>
    <row r="1070" spans="1:1" x14ac:dyDescent="0.3">
      <c r="A1070" s="234"/>
    </row>
    <row r="1071" spans="1:1" x14ac:dyDescent="0.3">
      <c r="A1071" s="234"/>
    </row>
    <row r="1072" spans="1:1" x14ac:dyDescent="0.3">
      <c r="A1072" s="234"/>
    </row>
    <row r="1073" spans="1:1" x14ac:dyDescent="0.3">
      <c r="A1073" s="234"/>
    </row>
    <row r="1074" spans="1:1" x14ac:dyDescent="0.3">
      <c r="A1074" s="234"/>
    </row>
    <row r="1075" spans="1:1" x14ac:dyDescent="0.3">
      <c r="A1075" s="234"/>
    </row>
    <row r="1076" spans="1:1" x14ac:dyDescent="0.3">
      <c r="A1076" s="234"/>
    </row>
    <row r="1077" spans="1:1" x14ac:dyDescent="0.3">
      <c r="A1077" s="234"/>
    </row>
    <row r="1078" spans="1:1" x14ac:dyDescent="0.3">
      <c r="A1078" s="234"/>
    </row>
    <row r="1079" spans="1:1" x14ac:dyDescent="0.3">
      <c r="A1079" s="234"/>
    </row>
    <row r="1080" spans="1:1" x14ac:dyDescent="0.3">
      <c r="A1080" s="234"/>
    </row>
    <row r="1081" spans="1:1" x14ac:dyDescent="0.3">
      <c r="A1081" s="234"/>
    </row>
    <row r="1082" spans="1:1" x14ac:dyDescent="0.3">
      <c r="A1082" s="234"/>
    </row>
    <row r="1083" spans="1:1" x14ac:dyDescent="0.3">
      <c r="A1083" s="234"/>
    </row>
    <row r="1084" spans="1:1" x14ac:dyDescent="0.3">
      <c r="A1084" s="234"/>
    </row>
    <row r="1085" spans="1:1" x14ac:dyDescent="0.3">
      <c r="A1085" s="234"/>
    </row>
    <row r="1086" spans="1:1" x14ac:dyDescent="0.3">
      <c r="A1086" s="234"/>
    </row>
    <row r="1087" spans="1:1" x14ac:dyDescent="0.3">
      <c r="A1087" s="234"/>
    </row>
    <row r="1088" spans="1:1" x14ac:dyDescent="0.3">
      <c r="A1088" s="234"/>
    </row>
    <row r="1089" spans="1:1" x14ac:dyDescent="0.3">
      <c r="A1089" s="234"/>
    </row>
    <row r="1090" spans="1:1" x14ac:dyDescent="0.3">
      <c r="A1090" s="234"/>
    </row>
    <row r="1091" spans="1:1" x14ac:dyDescent="0.3">
      <c r="A1091" s="234"/>
    </row>
    <row r="1092" spans="1:1" x14ac:dyDescent="0.3">
      <c r="A1092" s="234"/>
    </row>
    <row r="1093" spans="1:1" x14ac:dyDescent="0.3">
      <c r="A1093" s="234"/>
    </row>
    <row r="1094" spans="1:1" x14ac:dyDescent="0.3">
      <c r="A1094" s="234"/>
    </row>
    <row r="1095" spans="1:1" x14ac:dyDescent="0.3">
      <c r="A1095" s="234"/>
    </row>
    <row r="1096" spans="1:1" x14ac:dyDescent="0.3">
      <c r="A1096" s="234"/>
    </row>
    <row r="1097" spans="1:1" x14ac:dyDescent="0.3">
      <c r="A1097" s="234"/>
    </row>
    <row r="1098" spans="1:1" x14ac:dyDescent="0.3">
      <c r="A1098" s="234"/>
    </row>
    <row r="1099" spans="1:1" x14ac:dyDescent="0.3">
      <c r="A1099" s="234"/>
    </row>
    <row r="1100" spans="1:1" x14ac:dyDescent="0.3">
      <c r="A1100" s="234"/>
    </row>
    <row r="1101" spans="1:1" x14ac:dyDescent="0.3">
      <c r="A1101" s="234"/>
    </row>
    <row r="1102" spans="1:1" x14ac:dyDescent="0.3">
      <c r="A1102" s="234"/>
    </row>
    <row r="1103" spans="1:1" x14ac:dyDescent="0.3">
      <c r="A1103" s="234"/>
    </row>
    <row r="1104" spans="1:1" x14ac:dyDescent="0.3">
      <c r="A1104" s="234"/>
    </row>
    <row r="1105" spans="1:1" x14ac:dyDescent="0.3">
      <c r="A1105" s="234"/>
    </row>
    <row r="1106" spans="1:1" x14ac:dyDescent="0.3">
      <c r="A1106" s="234"/>
    </row>
    <row r="1107" spans="1:1" x14ac:dyDescent="0.3">
      <c r="A1107" s="234"/>
    </row>
    <row r="1108" spans="1:1" x14ac:dyDescent="0.3">
      <c r="A1108" s="234"/>
    </row>
    <row r="1109" spans="1:1" x14ac:dyDescent="0.3">
      <c r="A1109" s="234"/>
    </row>
    <row r="1110" spans="1:1" x14ac:dyDescent="0.3">
      <c r="A1110" s="234"/>
    </row>
    <row r="1111" spans="1:1" x14ac:dyDescent="0.3">
      <c r="A1111" s="234"/>
    </row>
    <row r="1112" spans="1:1" x14ac:dyDescent="0.3">
      <c r="A1112" s="234"/>
    </row>
    <row r="1113" spans="1:1" x14ac:dyDescent="0.3">
      <c r="A1113" s="234"/>
    </row>
    <row r="1114" spans="1:1" x14ac:dyDescent="0.3">
      <c r="A1114" s="234"/>
    </row>
    <row r="1115" spans="1:1" x14ac:dyDescent="0.3">
      <c r="A1115" s="234"/>
    </row>
    <row r="1116" spans="1:1" x14ac:dyDescent="0.3">
      <c r="A1116" s="234"/>
    </row>
    <row r="1117" spans="1:1" x14ac:dyDescent="0.3">
      <c r="A1117" s="234"/>
    </row>
    <row r="1118" spans="1:1" x14ac:dyDescent="0.3">
      <c r="A1118" s="234"/>
    </row>
    <row r="1119" spans="1:1" x14ac:dyDescent="0.3">
      <c r="A1119" s="234"/>
    </row>
    <row r="1120" spans="1:1" x14ac:dyDescent="0.3">
      <c r="A1120" s="234"/>
    </row>
    <row r="1121" spans="1:1" x14ac:dyDescent="0.3">
      <c r="A1121" s="234"/>
    </row>
    <row r="1122" spans="1:1" x14ac:dyDescent="0.3">
      <c r="A1122" s="234"/>
    </row>
    <row r="1123" spans="1:1" x14ac:dyDescent="0.3">
      <c r="A1123" s="234"/>
    </row>
    <row r="1124" spans="1:1" x14ac:dyDescent="0.3">
      <c r="A1124" s="234"/>
    </row>
    <row r="1125" spans="1:1" x14ac:dyDescent="0.3">
      <c r="A1125" s="234"/>
    </row>
    <row r="1126" spans="1:1" x14ac:dyDescent="0.3">
      <c r="A1126" s="234"/>
    </row>
    <row r="1127" spans="1:1" x14ac:dyDescent="0.3">
      <c r="A1127" s="234"/>
    </row>
    <row r="1128" spans="1:1" x14ac:dyDescent="0.3">
      <c r="A1128" s="234"/>
    </row>
    <row r="1129" spans="1:1" x14ac:dyDescent="0.3">
      <c r="A1129" s="234"/>
    </row>
    <row r="1130" spans="1:1" x14ac:dyDescent="0.3">
      <c r="A1130" s="234"/>
    </row>
    <row r="1131" spans="1:1" x14ac:dyDescent="0.3">
      <c r="A1131" s="234"/>
    </row>
    <row r="1132" spans="1:1" x14ac:dyDescent="0.3">
      <c r="A1132" s="234"/>
    </row>
    <row r="1133" spans="1:1" x14ac:dyDescent="0.3">
      <c r="A1133" s="234"/>
    </row>
    <row r="1134" spans="1:1" x14ac:dyDescent="0.3">
      <c r="A1134" s="234"/>
    </row>
    <row r="1135" spans="1:1" x14ac:dyDescent="0.3">
      <c r="A1135" s="234"/>
    </row>
    <row r="1136" spans="1:1" x14ac:dyDescent="0.3">
      <c r="A1136" s="234"/>
    </row>
    <row r="1137" spans="1:1" x14ac:dyDescent="0.3">
      <c r="A1137" s="234"/>
    </row>
    <row r="1138" spans="1:1" x14ac:dyDescent="0.3">
      <c r="A1138" s="234"/>
    </row>
    <row r="1139" spans="1:1" x14ac:dyDescent="0.3">
      <c r="A1139" s="234"/>
    </row>
    <row r="1140" spans="1:1" x14ac:dyDescent="0.3">
      <c r="A1140" s="234"/>
    </row>
    <row r="1141" spans="1:1" x14ac:dyDescent="0.3">
      <c r="A1141" s="234"/>
    </row>
    <row r="1142" spans="1:1" x14ac:dyDescent="0.3">
      <c r="A1142" s="234"/>
    </row>
    <row r="1143" spans="1:1" x14ac:dyDescent="0.3">
      <c r="A1143" s="234"/>
    </row>
    <row r="1144" spans="1:1" x14ac:dyDescent="0.3">
      <c r="A1144" s="234"/>
    </row>
    <row r="1145" spans="1:1" x14ac:dyDescent="0.3">
      <c r="A1145" s="234"/>
    </row>
    <row r="1146" spans="1:1" x14ac:dyDescent="0.3">
      <c r="A1146" s="234"/>
    </row>
    <row r="1147" spans="1:1" x14ac:dyDescent="0.3">
      <c r="A1147" s="234"/>
    </row>
    <row r="1148" spans="1:1" x14ac:dyDescent="0.3">
      <c r="A1148" s="234"/>
    </row>
    <row r="1149" spans="1:1" x14ac:dyDescent="0.3">
      <c r="A1149" s="234"/>
    </row>
    <row r="1150" spans="1:1" x14ac:dyDescent="0.3">
      <c r="A1150" s="234"/>
    </row>
    <row r="1151" spans="1:1" x14ac:dyDescent="0.3">
      <c r="A1151" s="234"/>
    </row>
    <row r="1152" spans="1:1" x14ac:dyDescent="0.3">
      <c r="A1152" s="234"/>
    </row>
    <row r="1153" spans="1:1" x14ac:dyDescent="0.3">
      <c r="A1153" s="234"/>
    </row>
    <row r="1154" spans="1:1" x14ac:dyDescent="0.3">
      <c r="A1154" s="234"/>
    </row>
    <row r="1155" spans="1:1" x14ac:dyDescent="0.3">
      <c r="A1155" s="234"/>
    </row>
    <row r="1156" spans="1:1" x14ac:dyDescent="0.3">
      <c r="A1156" s="234"/>
    </row>
    <row r="1157" spans="1:1" x14ac:dyDescent="0.3">
      <c r="A1157" s="234"/>
    </row>
    <row r="1158" spans="1:1" x14ac:dyDescent="0.3">
      <c r="A1158" s="234"/>
    </row>
    <row r="1159" spans="1:1" x14ac:dyDescent="0.3">
      <c r="A1159" s="234"/>
    </row>
    <row r="1160" spans="1:1" x14ac:dyDescent="0.3">
      <c r="A1160" s="234"/>
    </row>
    <row r="1161" spans="1:1" x14ac:dyDescent="0.3">
      <c r="A1161" s="234"/>
    </row>
    <row r="1162" spans="1:1" x14ac:dyDescent="0.3">
      <c r="A1162" s="234"/>
    </row>
    <row r="1163" spans="1:1" x14ac:dyDescent="0.3">
      <c r="A1163" s="234"/>
    </row>
    <row r="1164" spans="1:1" x14ac:dyDescent="0.3">
      <c r="A1164" s="234"/>
    </row>
    <row r="1165" spans="1:1" x14ac:dyDescent="0.3">
      <c r="A1165" s="234"/>
    </row>
    <row r="1166" spans="1:1" x14ac:dyDescent="0.3">
      <c r="A1166" s="234"/>
    </row>
    <row r="1167" spans="1:1" x14ac:dyDescent="0.3">
      <c r="A1167" s="234"/>
    </row>
    <row r="1168" spans="1:1" x14ac:dyDescent="0.3">
      <c r="A1168" s="234"/>
    </row>
    <row r="1169" spans="1:1" x14ac:dyDescent="0.3">
      <c r="A1169" s="234"/>
    </row>
    <row r="1170" spans="1:1" x14ac:dyDescent="0.3">
      <c r="A1170" s="234"/>
    </row>
    <row r="1171" spans="1:1" x14ac:dyDescent="0.3">
      <c r="A1171" s="234"/>
    </row>
    <row r="1172" spans="1:1" x14ac:dyDescent="0.3">
      <c r="A1172" s="234"/>
    </row>
    <row r="1173" spans="1:1" x14ac:dyDescent="0.3">
      <c r="A1173" s="234"/>
    </row>
    <row r="1174" spans="1:1" x14ac:dyDescent="0.3">
      <c r="A1174" s="234"/>
    </row>
    <row r="1175" spans="1:1" x14ac:dyDescent="0.3">
      <c r="A1175" s="234"/>
    </row>
    <row r="1176" spans="1:1" x14ac:dyDescent="0.3">
      <c r="A1176" s="234"/>
    </row>
    <row r="1177" spans="1:1" x14ac:dyDescent="0.3">
      <c r="A1177" s="234"/>
    </row>
    <row r="1178" spans="1:1" x14ac:dyDescent="0.3">
      <c r="A1178" s="234"/>
    </row>
    <row r="1179" spans="1:1" x14ac:dyDescent="0.3">
      <c r="A1179" s="234"/>
    </row>
    <row r="1180" spans="1:1" x14ac:dyDescent="0.3">
      <c r="A1180" s="234"/>
    </row>
    <row r="1181" spans="1:1" x14ac:dyDescent="0.3">
      <c r="A1181" s="234"/>
    </row>
    <row r="1182" spans="1:1" x14ac:dyDescent="0.3">
      <c r="A1182" s="234"/>
    </row>
    <row r="1183" spans="1:1" x14ac:dyDescent="0.3">
      <c r="A1183" s="234"/>
    </row>
    <row r="1184" spans="1:1" x14ac:dyDescent="0.3">
      <c r="A1184" s="234"/>
    </row>
    <row r="1185" spans="1:1" x14ac:dyDescent="0.3">
      <c r="A1185" s="234"/>
    </row>
    <row r="1186" spans="1:1" x14ac:dyDescent="0.3">
      <c r="A1186" s="234"/>
    </row>
    <row r="1187" spans="1:1" x14ac:dyDescent="0.3">
      <c r="A1187" s="234"/>
    </row>
    <row r="1188" spans="1:1" x14ac:dyDescent="0.3">
      <c r="A1188" s="234"/>
    </row>
    <row r="1189" spans="1:1" x14ac:dyDescent="0.3">
      <c r="A1189" s="234"/>
    </row>
    <row r="1190" spans="1:1" x14ac:dyDescent="0.3">
      <c r="A1190" s="234"/>
    </row>
    <row r="1191" spans="1:1" x14ac:dyDescent="0.3">
      <c r="A1191" s="234"/>
    </row>
    <row r="1192" spans="1:1" x14ac:dyDescent="0.3">
      <c r="A1192" s="234"/>
    </row>
    <row r="1193" spans="1:1" x14ac:dyDescent="0.3">
      <c r="A1193" s="234"/>
    </row>
    <row r="1194" spans="1:1" x14ac:dyDescent="0.3">
      <c r="A1194" s="234"/>
    </row>
    <row r="1195" spans="1:1" x14ac:dyDescent="0.3">
      <c r="A1195" s="234"/>
    </row>
    <row r="1196" spans="1:1" x14ac:dyDescent="0.3">
      <c r="A1196" s="234"/>
    </row>
    <row r="1197" spans="1:1" x14ac:dyDescent="0.3">
      <c r="A1197" s="234"/>
    </row>
    <row r="1198" spans="1:1" x14ac:dyDescent="0.3">
      <c r="A1198" s="234"/>
    </row>
    <row r="1199" spans="1:1" x14ac:dyDescent="0.3">
      <c r="A1199" s="234"/>
    </row>
    <row r="1200" spans="1:1" x14ac:dyDescent="0.3">
      <c r="A1200" s="234"/>
    </row>
    <row r="1201" spans="1:1" x14ac:dyDescent="0.3">
      <c r="A1201" s="234"/>
    </row>
    <row r="1202" spans="1:1" x14ac:dyDescent="0.3">
      <c r="A1202" s="234"/>
    </row>
    <row r="1203" spans="1:1" x14ac:dyDescent="0.3">
      <c r="A1203" s="234"/>
    </row>
    <row r="1204" spans="1:1" x14ac:dyDescent="0.3">
      <c r="A1204" s="234"/>
    </row>
    <row r="1205" spans="1:1" x14ac:dyDescent="0.3">
      <c r="A1205" s="234"/>
    </row>
    <row r="1206" spans="1:1" x14ac:dyDescent="0.3">
      <c r="A1206" s="234"/>
    </row>
    <row r="1207" spans="1:1" x14ac:dyDescent="0.3">
      <c r="A1207" s="234"/>
    </row>
    <row r="1208" spans="1:1" x14ac:dyDescent="0.3">
      <c r="A1208" s="234"/>
    </row>
    <row r="1209" spans="1:1" x14ac:dyDescent="0.3">
      <c r="A1209" s="234"/>
    </row>
    <row r="1210" spans="1:1" x14ac:dyDescent="0.3">
      <c r="A1210" s="234"/>
    </row>
    <row r="1211" spans="1:1" x14ac:dyDescent="0.3">
      <c r="A1211" s="234"/>
    </row>
    <row r="1212" spans="1:1" x14ac:dyDescent="0.3">
      <c r="A1212" s="234"/>
    </row>
    <row r="1213" spans="1:1" x14ac:dyDescent="0.3">
      <c r="A1213" s="234"/>
    </row>
    <row r="1214" spans="1:1" x14ac:dyDescent="0.3">
      <c r="A1214" s="234"/>
    </row>
    <row r="1215" spans="1:1" x14ac:dyDescent="0.3">
      <c r="A1215" s="234"/>
    </row>
    <row r="1216" spans="1:1" x14ac:dyDescent="0.3">
      <c r="A1216" s="234"/>
    </row>
    <row r="1217" spans="1:1" x14ac:dyDescent="0.3">
      <c r="A1217" s="234"/>
    </row>
    <row r="1218" spans="1:1" x14ac:dyDescent="0.3">
      <c r="A1218" s="234"/>
    </row>
    <row r="1219" spans="1:1" x14ac:dyDescent="0.3">
      <c r="A1219" s="234"/>
    </row>
    <row r="1220" spans="1:1" x14ac:dyDescent="0.3">
      <c r="A1220" s="234"/>
    </row>
    <row r="1221" spans="1:1" x14ac:dyDescent="0.3">
      <c r="A1221" s="234"/>
    </row>
    <row r="1222" spans="1:1" x14ac:dyDescent="0.3">
      <c r="A1222" s="234"/>
    </row>
    <row r="1223" spans="1:1" x14ac:dyDescent="0.3">
      <c r="A1223" s="234"/>
    </row>
    <row r="1224" spans="1:1" x14ac:dyDescent="0.3">
      <c r="A1224" s="234"/>
    </row>
    <row r="1225" spans="1:1" x14ac:dyDescent="0.3">
      <c r="A1225" s="234"/>
    </row>
    <row r="1226" spans="1:1" x14ac:dyDescent="0.3">
      <c r="A1226" s="234"/>
    </row>
    <row r="1227" spans="1:1" x14ac:dyDescent="0.3">
      <c r="A1227" s="234"/>
    </row>
    <row r="1228" spans="1:1" x14ac:dyDescent="0.3">
      <c r="A1228" s="234"/>
    </row>
    <row r="1229" spans="1:1" x14ac:dyDescent="0.3">
      <c r="A1229" s="234"/>
    </row>
    <row r="1230" spans="1:1" x14ac:dyDescent="0.3">
      <c r="A1230" s="234"/>
    </row>
    <row r="1231" spans="1:1" x14ac:dyDescent="0.3">
      <c r="A1231" s="234"/>
    </row>
    <row r="1232" spans="1:1" x14ac:dyDescent="0.3">
      <c r="A1232" s="234"/>
    </row>
    <row r="1233" spans="1:1" x14ac:dyDescent="0.3">
      <c r="A1233" s="234"/>
    </row>
    <row r="1234" spans="1:1" x14ac:dyDescent="0.3">
      <c r="A1234" s="234"/>
    </row>
    <row r="1235" spans="1:1" x14ac:dyDescent="0.3">
      <c r="A1235" s="234"/>
    </row>
    <row r="1236" spans="1:1" x14ac:dyDescent="0.3">
      <c r="A1236" s="234"/>
    </row>
    <row r="1237" spans="1:1" x14ac:dyDescent="0.3">
      <c r="A1237" s="234"/>
    </row>
    <row r="1238" spans="1:1" x14ac:dyDescent="0.3">
      <c r="A1238" s="234"/>
    </row>
    <row r="1239" spans="1:1" x14ac:dyDescent="0.3">
      <c r="A1239" s="234"/>
    </row>
    <row r="1240" spans="1:1" x14ac:dyDescent="0.3">
      <c r="A1240" s="234"/>
    </row>
    <row r="1241" spans="1:1" x14ac:dyDescent="0.3">
      <c r="A1241" s="234"/>
    </row>
    <row r="1242" spans="1:1" x14ac:dyDescent="0.3">
      <c r="A1242" s="234"/>
    </row>
    <row r="1243" spans="1:1" x14ac:dyDescent="0.3">
      <c r="A1243" s="234"/>
    </row>
    <row r="1244" spans="1:1" x14ac:dyDescent="0.3">
      <c r="A1244" s="234"/>
    </row>
    <row r="1245" spans="1:1" x14ac:dyDescent="0.3">
      <c r="A1245" s="234"/>
    </row>
    <row r="1246" spans="1:1" x14ac:dyDescent="0.3">
      <c r="A1246" s="234"/>
    </row>
    <row r="1247" spans="1:1" x14ac:dyDescent="0.3">
      <c r="A1247" s="234"/>
    </row>
    <row r="1248" spans="1:1" x14ac:dyDescent="0.3">
      <c r="A1248" s="234"/>
    </row>
    <row r="1249" spans="1:1" x14ac:dyDescent="0.3">
      <c r="A1249" s="234"/>
    </row>
    <row r="1250" spans="1:1" x14ac:dyDescent="0.3">
      <c r="A1250" s="234"/>
    </row>
    <row r="1251" spans="1:1" x14ac:dyDescent="0.3">
      <c r="A1251" s="234"/>
    </row>
    <row r="1252" spans="1:1" x14ac:dyDescent="0.3">
      <c r="A1252" s="234"/>
    </row>
    <row r="1253" spans="1:1" x14ac:dyDescent="0.3">
      <c r="A1253" s="234"/>
    </row>
    <row r="1254" spans="1:1" x14ac:dyDescent="0.3">
      <c r="A1254" s="234"/>
    </row>
    <row r="1255" spans="1:1" x14ac:dyDescent="0.3">
      <c r="A1255" s="234"/>
    </row>
    <row r="1256" spans="1:1" x14ac:dyDescent="0.3">
      <c r="A1256" s="234"/>
    </row>
    <row r="1257" spans="1:1" x14ac:dyDescent="0.3">
      <c r="A1257" s="234"/>
    </row>
    <row r="1258" spans="1:1" x14ac:dyDescent="0.3">
      <c r="A1258" s="234"/>
    </row>
    <row r="1259" spans="1:1" x14ac:dyDescent="0.3">
      <c r="A1259" s="234"/>
    </row>
    <row r="1260" spans="1:1" x14ac:dyDescent="0.3">
      <c r="A1260" s="234"/>
    </row>
    <row r="1261" spans="1:1" x14ac:dyDescent="0.3">
      <c r="A1261" s="234"/>
    </row>
    <row r="1262" spans="1:1" x14ac:dyDescent="0.3">
      <c r="A1262" s="234"/>
    </row>
    <row r="1263" spans="1:1" x14ac:dyDescent="0.3">
      <c r="A1263" s="234"/>
    </row>
    <row r="1264" spans="1:1" x14ac:dyDescent="0.3">
      <c r="A1264" s="234"/>
    </row>
    <row r="1265" spans="1:1" x14ac:dyDescent="0.3">
      <c r="A1265" s="234"/>
    </row>
    <row r="1266" spans="1:1" x14ac:dyDescent="0.3">
      <c r="A1266" s="234"/>
    </row>
    <row r="1267" spans="1:1" x14ac:dyDescent="0.3">
      <c r="A1267" s="234"/>
    </row>
    <row r="1268" spans="1:1" x14ac:dyDescent="0.3">
      <c r="A1268" s="234"/>
    </row>
    <row r="1269" spans="1:1" x14ac:dyDescent="0.3">
      <c r="A1269" s="234"/>
    </row>
    <row r="1270" spans="1:1" x14ac:dyDescent="0.3">
      <c r="A1270" s="234"/>
    </row>
    <row r="1271" spans="1:1" x14ac:dyDescent="0.3">
      <c r="A1271" s="234"/>
    </row>
    <row r="1272" spans="1:1" x14ac:dyDescent="0.3">
      <c r="A1272" s="234"/>
    </row>
    <row r="1273" spans="1:1" x14ac:dyDescent="0.3">
      <c r="A1273" s="234"/>
    </row>
    <row r="1274" spans="1:1" x14ac:dyDescent="0.3">
      <c r="A1274" s="234"/>
    </row>
    <row r="1275" spans="1:1" x14ac:dyDescent="0.3">
      <c r="A1275" s="234"/>
    </row>
    <row r="1276" spans="1:1" x14ac:dyDescent="0.3">
      <c r="A1276" s="234"/>
    </row>
    <row r="1277" spans="1:1" x14ac:dyDescent="0.3">
      <c r="A1277" s="234"/>
    </row>
    <row r="1278" spans="1:1" x14ac:dyDescent="0.3">
      <c r="A1278" s="234"/>
    </row>
    <row r="1279" spans="1:1" x14ac:dyDescent="0.3">
      <c r="A1279" s="234"/>
    </row>
    <row r="1280" spans="1:1" x14ac:dyDescent="0.3">
      <c r="A1280" s="234"/>
    </row>
    <row r="1281" spans="1:1" x14ac:dyDescent="0.3">
      <c r="A1281" s="234"/>
    </row>
    <row r="1282" spans="1:1" x14ac:dyDescent="0.3">
      <c r="A1282" s="234"/>
    </row>
    <row r="1283" spans="1:1" x14ac:dyDescent="0.3">
      <c r="A1283" s="234"/>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2</vt:i4>
      </vt:variant>
    </vt:vector>
  </HeadingPairs>
  <TitlesOfParts>
    <vt:vector size="15" baseType="lpstr">
      <vt:lpstr>Tableau principal - Hoofdtabel</vt:lpstr>
      <vt:lpstr>Feuil1</vt:lpstr>
      <vt:lpstr>Budget_CfgOA_2024</vt:lpstr>
      <vt:lpstr>Budget_VROA_2024</vt:lpstr>
      <vt:lpstr>Detail 2024-NROA-bron</vt:lpstr>
      <vt:lpstr>eenmalige kosten-frais uniques</vt:lpstr>
      <vt:lpstr>eenm kosten-frais uniques 24</vt:lpstr>
      <vt:lpstr>aantal leden - ALL-2023</vt:lpstr>
      <vt:lpstr>facturen-2023</vt:lpstr>
      <vt:lpstr>Budget_VROA_2023</vt:lpstr>
      <vt:lpstr>Budget_CfgOA_2023</vt:lpstr>
      <vt:lpstr>draaitabel kosten  23</vt:lpstr>
      <vt:lpstr>VROA - aantal leden</vt:lpstr>
      <vt:lpstr>'Tableau principal - Hoofdtabel'!Impression_des_titres</vt:lpstr>
      <vt:lpstr>'Tableau principal - Hoofdtabel'!Zone_d_impression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budget_2022_cnoa.xlsx</dc:title>
  <dc:creator>rengels</dc:creator>
  <cp:lastModifiedBy>Céline Cissé</cp:lastModifiedBy>
  <cp:lastPrinted>2025-12-17T10:11:16Z</cp:lastPrinted>
  <dcterms:created xsi:type="dcterms:W3CDTF">2022-11-09T16:13:38Z</dcterms:created>
  <dcterms:modified xsi:type="dcterms:W3CDTF">2026-05-11T11:36:30Z</dcterms:modified>
</cp:coreProperties>
</file>